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autoCompressPictures="0" defaultThemeVersion="124226"/>
  <mc:AlternateContent xmlns:mc="http://schemas.openxmlformats.org/markup-compatibility/2006">
    <mc:Choice Requires="x15">
      <x15ac:absPath xmlns:x15ac="http://schemas.microsoft.com/office/spreadsheetml/2010/11/ac" url="Z:\FINANCE\Tp1812\Annual Report\"/>
    </mc:Choice>
  </mc:AlternateContent>
  <xr:revisionPtr revIDLastSave="0" documentId="10_ncr:100000_{99526A72-CBE5-4B8D-8F0F-7139F0DF6B8C}" xr6:coauthVersionLast="31" xr6:coauthVersionMax="36" xr10:uidLastSave="{00000000-0000-0000-0000-000000000000}"/>
  <bookViews>
    <workbookView xWindow="0" yWindow="-108" windowWidth="10236" windowHeight="5460" tabRatio="761" xr2:uid="{00000000-000D-0000-FFFF-FFFF00000000}"/>
  </bookViews>
  <sheets>
    <sheet name="Tuloksen määreet" sheetId="91" r:id="rId1"/>
    <sheet name="Viisivuotiskatsaus" sheetId="72" r:id="rId2"/>
    <sheet name="Kvartaalitunnuslukuja" sheetId="74" r:id="rId3"/>
    <sheet name="Tunnuslukujen laskentakaavat" sheetId="73" r:id="rId4"/>
    <sheet name="Tuloslaskelma" sheetId="33" r:id="rId5"/>
    <sheet name="Laaja tuloslaskelma" sheetId="87" r:id="rId6"/>
    <sheet name="Tase" sheetId="34" r:id="rId7"/>
    <sheet name="Rahavirtalaskelma" sheetId="35" r:id="rId8"/>
    <sheet name="Oma pääoma" sheetId="37" r:id="rId9"/>
    <sheet name="Liite 1" sheetId="86" r:id="rId10"/>
    <sheet name="Liite 2" sheetId="38" r:id="rId11"/>
    <sheet name="Liite 3" sheetId="88" r:id="rId12"/>
    <sheet name="Liite 4" sheetId="39" r:id="rId13"/>
    <sheet name="Liite 5" sheetId="40" r:id="rId14"/>
    <sheet name="Liite 6" sheetId="41" r:id="rId15"/>
    <sheet name="Liite 7" sheetId="42" r:id="rId16"/>
    <sheet name="Liite 8" sheetId="51" r:id="rId17"/>
    <sheet name="Liite 9" sheetId="90" r:id="rId18"/>
    <sheet name="Liite 10" sheetId="80" r:id="rId19"/>
    <sheet name="Liite 11" sheetId="49" r:id="rId20"/>
    <sheet name="Liite 12" sheetId="48" r:id="rId21"/>
    <sheet name="Liite 13" sheetId="85" r:id="rId22"/>
    <sheet name="Liite 14" sheetId="84" r:id="rId23"/>
    <sheet name="Liite 15" sheetId="45" r:id="rId24"/>
    <sheet name="Liite 16" sheetId="60" r:id="rId25"/>
    <sheet name="Liite 17" sheetId="52" r:id="rId26"/>
    <sheet name="Liite 18" sheetId="92" r:id="rId27"/>
    <sheet name="Liite 19" sheetId="59" r:id="rId28"/>
    <sheet name="Liite 20" sheetId="58" r:id="rId29"/>
    <sheet name="Liite 21" sheetId="93" r:id="rId30"/>
    <sheet name="Liite 22" sheetId="57" r:id="rId31"/>
    <sheet name="Liite 23" sheetId="56" r:id="rId32"/>
    <sheet name="Liite 24" sheetId="55" r:id="rId33"/>
    <sheet name="Liite 25" sheetId="63" r:id="rId34"/>
    <sheet name="Liite 26" sheetId="62" r:id="rId35"/>
    <sheet name="Liite 27" sheetId="67" r:id="rId36"/>
    <sheet name="Liite 28" sheetId="66" r:id="rId37"/>
    <sheet name="Liite 29" sheetId="65" r:id="rId38"/>
    <sheet name="Liite 30" sheetId="64" r:id="rId39"/>
    <sheet name="Liite 31" sheetId="82" r:id="rId40"/>
    <sheet name="Liite 32" sheetId="70" r:id="rId41"/>
    <sheet name="Liite 33" sheetId="83" r:id="rId42"/>
    <sheet name="Liite 34" sheetId="68" r:id="rId43"/>
    <sheet name="Liite 35" sheetId="81" r:id="rId44"/>
    <sheet name="check versio" sheetId="15" state="hidden" r:id="rId45"/>
    <sheet name="Sheet1" sheetId="76" r:id="rId46"/>
  </sheets>
  <definedNames>
    <definedName name="G" localSheetId="41">'Liite 33'!#REF!</definedName>
    <definedName name="kvastaava">Tase!$A$1:$F$26</definedName>
    <definedName name="kvastattavaa">Tase!$A$32:$F$64</definedName>
    <definedName name="_xlnm.Print_Area" localSheetId="44">'check versio'!$A$324:$H$366</definedName>
    <definedName name="_xlnm.Print_Area" localSheetId="2">Kvartaalitunnuslukuja!$A$1:$J$64</definedName>
    <definedName name="_xlnm.Print_Area" localSheetId="5">'Laaja tuloslaskelma'!$A$1:$F$37</definedName>
    <definedName name="_xlnm.Print_Area" localSheetId="9">'Liite 1'!$A$1:$G$33</definedName>
    <definedName name="_xlnm.Print_Area" localSheetId="18">'Liite 10'!$A$1:$C$23</definedName>
    <definedName name="_xlnm.Print_Area" localSheetId="19">'Liite 11'!$A$1:$D$36</definedName>
    <definedName name="_xlnm.Print_Area" localSheetId="20">'Liite 12'!$A$1:$D$18</definedName>
    <definedName name="_xlnm.Print_Area" localSheetId="21">'Liite 13'!$A$1:$F$81</definedName>
    <definedName name="_xlnm.Print_Area" localSheetId="22">'Liite 14'!$A$1:$G$45</definedName>
    <definedName name="_xlnm.Print_Area" localSheetId="23">'Liite 15'!$A$1:$I$40</definedName>
    <definedName name="_xlnm.Print_Area" localSheetId="24">'Liite 16'!$A$1:$G$90</definedName>
    <definedName name="_xlnm.Print_Area" localSheetId="25">'Liite 17'!$A$1:$C$11</definedName>
    <definedName name="_xlnm.Print_Area" localSheetId="26">'Liite 18'!$A$1:$C$24</definedName>
    <definedName name="_xlnm.Print_Area" localSheetId="27">'Liite 19'!$A$1:$C$21</definedName>
    <definedName name="_xlnm.Print_Area" localSheetId="10">'Liite 2'!$A$1:$C$198</definedName>
    <definedName name="_xlnm.Print_Area" localSheetId="28">'Liite 20'!$A$1:$C$9</definedName>
    <definedName name="_xlnm.Print_Area" localSheetId="29">'Liite 21'!$A$1:$G$32</definedName>
    <definedName name="_xlnm.Print_Area" localSheetId="30">'Liite 22'!$A$1:$H$45</definedName>
    <definedName name="_xlnm.Print_Area" localSheetId="31">'Liite 23'!$A$1:$E$103</definedName>
    <definedName name="_xlnm.Print_Area" localSheetId="32">'Liite 24'!$A$1:$E$50</definedName>
    <definedName name="_xlnm.Print_Area" localSheetId="33">'Liite 25'!$A$1:$G$34</definedName>
    <definedName name="_xlnm.Print_Area" localSheetId="34">'Liite 26'!$A$1:$F$35</definedName>
    <definedName name="_xlnm.Print_Area" localSheetId="35">'Liite 27'!$A$1:$C$16</definedName>
    <definedName name="_xlnm.Print_Area" localSheetId="36">'Liite 28'!$A$1:$F$44</definedName>
    <definedName name="_xlnm.Print_Area" localSheetId="37">'Liite 29'!$A$1:$F$25</definedName>
    <definedName name="_xlnm.Print_Area" localSheetId="11">'Liite 3'!$A$1:$C$17</definedName>
    <definedName name="_xlnm.Print_Area" localSheetId="38">'Liite 30'!$A$1:$D$61</definedName>
    <definedName name="_xlnm.Print_Area" localSheetId="39">'Liite 31'!$A$1:$E$183</definedName>
    <definedName name="_xlnm.Print_Area" localSheetId="40">'Liite 32'!$A$1:$E$13</definedName>
    <definedName name="_xlnm.Print_Area" localSheetId="41">'Liite 33'!$A$1:$F$21</definedName>
    <definedName name="_xlnm.Print_Area" localSheetId="42">'Liite 34'!$A$1:$E$134</definedName>
    <definedName name="_xlnm.Print_Area" localSheetId="43">'Liite 35'!$A$1:$E$4</definedName>
    <definedName name="_xlnm.Print_Area" localSheetId="12">'Liite 4'!$A$1:$D$31</definedName>
    <definedName name="_xlnm.Print_Area" localSheetId="13">'Liite 5'!$A$1:$C$14</definedName>
    <definedName name="_xlnm.Print_Area" localSheetId="14">'Liite 6'!$A$1:$C$9</definedName>
    <definedName name="_xlnm.Print_Area" localSheetId="15">'Liite 7'!$A$1:$D$22</definedName>
    <definedName name="_xlnm.Print_Area" localSheetId="16">'Liite 8'!$A$1:$C$12</definedName>
    <definedName name="_xlnm.Print_Area" localSheetId="17">'Liite 9'!$A$1:$C$11</definedName>
    <definedName name="_xlnm.Print_Area" localSheetId="8">'Oma pääoma'!$A$1:$K$38</definedName>
    <definedName name="_xlnm.Print_Area" localSheetId="7">Rahavirtalaskelma!$A$1:$F$61</definedName>
    <definedName name="_xlnm.Print_Area" localSheetId="6">Tase!$A$1:$F$69</definedName>
    <definedName name="_xlnm.Print_Area" localSheetId="0">'Tuloksen määreet'!$A$1:$D$18</definedName>
    <definedName name="_xlnm.Print_Area" localSheetId="4">Tuloslaskelma!$A$1:$F$38</definedName>
    <definedName name="_xlnm.Print_Area" localSheetId="3">'Tunnuslukujen laskentakaavat'!$A$1:$C$62</definedName>
    <definedName name="_xlnm.Print_Area" localSheetId="1">Viisivuotiskatsaus!$A$1:$H$65</definedName>
    <definedName name="virallvastaavaa">Tase!$A$1:$F$26</definedName>
  </definedNames>
  <calcPr calcId="179017"/>
</workbook>
</file>

<file path=xl/calcChain.xml><?xml version="1.0" encoding="utf-8"?>
<calcChain xmlns="http://schemas.openxmlformats.org/spreadsheetml/2006/main">
  <c r="D266" i="15" l="1"/>
  <c r="H266" i="15" s="1"/>
  <c r="B89" i="15"/>
  <c r="B90" i="15"/>
  <c r="B92" i="15"/>
  <c r="A2" i="15"/>
  <c r="B118" i="15"/>
  <c r="B117" i="15"/>
  <c r="C106" i="15"/>
  <c r="C12" i="15"/>
  <c r="C14" i="15" s="1"/>
  <c r="C79" i="15"/>
  <c r="C80" i="15"/>
  <c r="C81" i="15"/>
  <c r="C82" i="15"/>
  <c r="C83" i="15"/>
  <c r="C85" i="15"/>
  <c r="C89" i="15"/>
  <c r="C90" i="15"/>
  <c r="C92" i="15"/>
  <c r="C96" i="15"/>
  <c r="C100" i="15"/>
  <c r="D108" i="15"/>
  <c r="B106" i="15" s="1"/>
  <c r="C108" i="15"/>
  <c r="E67" i="15"/>
  <c r="E68" i="15" s="1"/>
  <c r="B83" i="15"/>
  <c r="B271" i="15"/>
  <c r="B336" i="15" s="1"/>
  <c r="B315" i="15"/>
  <c r="B314" i="15"/>
  <c r="B308" i="15"/>
  <c r="B313" i="15" s="1"/>
  <c r="B302" i="15"/>
  <c r="B297" i="15"/>
  <c r="B292" i="15"/>
  <c r="B242" i="15"/>
  <c r="B234" i="15"/>
  <c r="B204" i="15"/>
  <c r="B214" i="15" s="1"/>
  <c r="B223" i="15" s="1"/>
  <c r="B231" i="15" s="1"/>
  <c r="B226" i="15"/>
  <c r="B216" i="15"/>
  <c r="B215" i="15"/>
  <c r="B208" i="15"/>
  <c r="B209" i="15"/>
  <c r="B196" i="15"/>
  <c r="B198" i="15" s="1"/>
  <c r="B194" i="15"/>
  <c r="B186" i="15"/>
  <c r="B185" i="15"/>
  <c r="B179" i="15"/>
  <c r="B178" i="15"/>
  <c r="B177" i="15"/>
  <c r="F161" i="15"/>
  <c r="B161" i="15" s="1"/>
  <c r="F160" i="15"/>
  <c r="E160" i="15"/>
  <c r="B134" i="15"/>
  <c r="B147" i="15" s="1"/>
  <c r="A8" i="15"/>
  <c r="A9" i="15"/>
  <c r="A10" i="15"/>
  <c r="A11" i="15"/>
  <c r="A12" i="15"/>
  <c r="E12" i="15"/>
  <c r="E14" i="15" s="1"/>
  <c r="A13" i="15"/>
  <c r="A14" i="15"/>
  <c r="D14" i="15"/>
  <c r="D18" i="15" s="1"/>
  <c r="E15" i="15"/>
  <c r="A15" i="15"/>
  <c r="A16" i="15"/>
  <c r="A17" i="15"/>
  <c r="A18" i="15"/>
  <c r="A19" i="15"/>
  <c r="A20" i="15"/>
  <c r="A22" i="15"/>
  <c r="A23" i="15"/>
  <c r="A24" i="15"/>
  <c r="C25" i="15"/>
  <c r="D25" i="15"/>
  <c r="A27" i="15"/>
  <c r="A28" i="15"/>
  <c r="C28" i="15"/>
  <c r="C215" i="15" s="1"/>
  <c r="A29" i="15"/>
  <c r="A33" i="15"/>
  <c r="A34" i="15"/>
  <c r="A35" i="15"/>
  <c r="A36" i="15"/>
  <c r="C36" i="15"/>
  <c r="C39" i="15"/>
  <c r="C40" i="15"/>
  <c r="C41" i="15"/>
  <c r="C45" i="15"/>
  <c r="C46" i="15"/>
  <c r="E36" i="15"/>
  <c r="E37" i="15"/>
  <c r="E39" i="15"/>
  <c r="E40" i="15"/>
  <c r="E41" i="15"/>
  <c r="A37" i="15"/>
  <c r="A38" i="15"/>
  <c r="A39" i="15"/>
  <c r="D39" i="15"/>
  <c r="A40" i="15"/>
  <c r="D40" i="15"/>
  <c r="A41" i="15"/>
  <c r="A43" i="15"/>
  <c r="A44" i="15"/>
  <c r="A45" i="15"/>
  <c r="E45" i="15"/>
  <c r="E47" i="15" s="1"/>
  <c r="A46" i="15"/>
  <c r="D47" i="15"/>
  <c r="A49" i="15"/>
  <c r="A52" i="15"/>
  <c r="A53" i="15"/>
  <c r="A54" i="15"/>
  <c r="C54" i="15"/>
  <c r="C55" i="15" s="1"/>
  <c r="C58" i="15" s="1"/>
  <c r="D54" i="15"/>
  <c r="D55" i="15" s="1"/>
  <c r="D58" i="15" s="1"/>
  <c r="E54" i="15"/>
  <c r="E55" i="15" s="1"/>
  <c r="E58" i="15" s="1"/>
  <c r="A55" i="15"/>
  <c r="D68" i="15"/>
  <c r="D62" i="15"/>
  <c r="D63" i="15" s="1"/>
  <c r="D64" i="15" s="1"/>
  <c r="A57" i="15"/>
  <c r="A58" i="15"/>
  <c r="A60" i="15"/>
  <c r="A61" i="15"/>
  <c r="A62" i="15"/>
  <c r="C62" i="15"/>
  <c r="C63" i="15" s="1"/>
  <c r="C64" i="15" s="1"/>
  <c r="A63" i="15"/>
  <c r="E63" i="15"/>
  <c r="E64" i="15" s="1"/>
  <c r="A65" i="15"/>
  <c r="A66" i="15"/>
  <c r="A67" i="15"/>
  <c r="C67" i="15"/>
  <c r="C68" i="15" s="1"/>
  <c r="A70" i="15"/>
  <c r="A72" i="15"/>
  <c r="A75" i="15"/>
  <c r="A76" i="15"/>
  <c r="A77" i="15"/>
  <c r="M78" i="15"/>
  <c r="A78" i="15" s="1"/>
  <c r="N78" i="15"/>
  <c r="O78" i="15"/>
  <c r="A79" i="15"/>
  <c r="D79" i="15"/>
  <c r="M80" i="15"/>
  <c r="A80" i="15" s="1"/>
  <c r="D80" i="15"/>
  <c r="N80" i="15"/>
  <c r="O80" i="15"/>
  <c r="A81" i="15"/>
  <c r="D81" i="15"/>
  <c r="D82" i="15"/>
  <c r="D93" i="15"/>
  <c r="D101" i="15"/>
  <c r="E81" i="15"/>
  <c r="E84" i="15" s="1"/>
  <c r="E86" i="15" s="1"/>
  <c r="M82" i="15"/>
  <c r="A82" i="15" s="1"/>
  <c r="N82" i="15"/>
  <c r="O82" i="15"/>
  <c r="A83" i="15"/>
  <c r="A84" i="15"/>
  <c r="A85" i="15"/>
  <c r="A86" i="15"/>
  <c r="A88" i="15"/>
  <c r="A89" i="15"/>
  <c r="E89" i="15"/>
  <c r="A90" i="15"/>
  <c r="E90" i="15"/>
  <c r="E100" i="15"/>
  <c r="E101" i="15" s="1"/>
  <c r="A91" i="15"/>
  <c r="A92" i="15"/>
  <c r="A93" i="15"/>
  <c r="A95" i="15"/>
  <c r="A96" i="15"/>
  <c r="A97" i="15"/>
  <c r="A98" i="15"/>
  <c r="A99" i="15"/>
  <c r="A100" i="15"/>
  <c r="A101" i="15"/>
  <c r="A103" i="15"/>
  <c r="A106" i="15"/>
  <c r="D106" i="15"/>
  <c r="A107" i="15"/>
  <c r="D107" i="15"/>
  <c r="A108" i="15"/>
  <c r="A113" i="15"/>
  <c r="C114" i="15"/>
  <c r="H114" i="15"/>
  <c r="I114" i="15"/>
  <c r="H115" i="15"/>
  <c r="I115" i="15"/>
  <c r="F116" i="15"/>
  <c r="C117" i="15"/>
  <c r="D117" i="15"/>
  <c r="E117" i="15"/>
  <c r="F117" i="15"/>
  <c r="G117" i="15"/>
  <c r="A118" i="15"/>
  <c r="C118" i="15"/>
  <c r="D118" i="15"/>
  <c r="E118" i="15"/>
  <c r="F118" i="15"/>
  <c r="G118" i="15"/>
  <c r="A120" i="15"/>
  <c r="I120" i="15"/>
  <c r="A122" i="15"/>
  <c r="I122" i="15"/>
  <c r="A123" i="15"/>
  <c r="I123" i="15"/>
  <c r="A124" i="15"/>
  <c r="I124" i="15"/>
  <c r="A125" i="15"/>
  <c r="A126" i="15"/>
  <c r="I126" i="15"/>
  <c r="A127" i="15"/>
  <c r="I127" i="15"/>
  <c r="A128" i="15"/>
  <c r="I128" i="15"/>
  <c r="A129" i="15"/>
  <c r="E129" i="15"/>
  <c r="E131" i="15" s="1"/>
  <c r="F129" i="15"/>
  <c r="F131" i="15" s="1"/>
  <c r="F134" i="15" s="1"/>
  <c r="G129" i="15"/>
  <c r="G131" i="15" s="1"/>
  <c r="G134" i="15" s="1"/>
  <c r="H129" i="15"/>
  <c r="H131" i="15" s="1"/>
  <c r="H134" i="15" s="1"/>
  <c r="H136" i="15"/>
  <c r="H142" i="15" s="1"/>
  <c r="H143" i="15"/>
  <c r="A130" i="15"/>
  <c r="I130" i="15"/>
  <c r="A131" i="15"/>
  <c r="G142" i="15"/>
  <c r="G143" i="15"/>
  <c r="A132" i="15"/>
  <c r="I132" i="15"/>
  <c r="A133" i="15"/>
  <c r="I133" i="15"/>
  <c r="A134" i="15"/>
  <c r="C134" i="15"/>
  <c r="C147" i="15" s="1"/>
  <c r="D134" i="15"/>
  <c r="D147" i="15" s="1"/>
  <c r="A136" i="15"/>
  <c r="E136" i="15"/>
  <c r="E142" i="15" s="1"/>
  <c r="A137" i="15"/>
  <c r="I137" i="15"/>
  <c r="A138" i="15"/>
  <c r="A139" i="15"/>
  <c r="I139" i="15"/>
  <c r="A140" i="15"/>
  <c r="I140" i="15"/>
  <c r="A141" i="15"/>
  <c r="I141" i="15"/>
  <c r="A142" i="15"/>
  <c r="F142" i="15"/>
  <c r="F144" i="15" s="1"/>
  <c r="A143" i="15"/>
  <c r="A144" i="15"/>
  <c r="A145" i="15"/>
  <c r="I145" i="15"/>
  <c r="A146" i="15"/>
  <c r="I146" i="15"/>
  <c r="A147" i="15"/>
  <c r="A150" i="15"/>
  <c r="A152" i="15"/>
  <c r="A153" i="15"/>
  <c r="C153" i="15"/>
  <c r="A154" i="15"/>
  <c r="A155" i="15"/>
  <c r="M156" i="15"/>
  <c r="A156" i="15" s="1"/>
  <c r="N156" i="15"/>
  <c r="O156" i="15"/>
  <c r="M157" i="15"/>
  <c r="A157" i="15" s="1"/>
  <c r="N157" i="15"/>
  <c r="O157" i="15"/>
  <c r="M158" i="15"/>
  <c r="A158" i="15" s="1"/>
  <c r="N158" i="15"/>
  <c r="O158" i="15"/>
  <c r="A160" i="15"/>
  <c r="A161" i="15"/>
  <c r="A162" i="15"/>
  <c r="A163" i="15"/>
  <c r="C163" i="15"/>
  <c r="A166" i="15"/>
  <c r="A168" i="15"/>
  <c r="A169" i="15"/>
  <c r="G169" i="15"/>
  <c r="F169" i="15" s="1"/>
  <c r="A170" i="15"/>
  <c r="A171" i="15"/>
  <c r="G171" i="15"/>
  <c r="F171" i="15" s="1"/>
  <c r="M172" i="15"/>
  <c r="A172" i="15" s="1"/>
  <c r="N172" i="15"/>
  <c r="O172" i="15"/>
  <c r="M173" i="15"/>
  <c r="A173" i="15" s="1"/>
  <c r="G173" i="15"/>
  <c r="E173" i="15" s="1"/>
  <c r="N173" i="15"/>
  <c r="O173" i="15"/>
  <c r="M174" i="15"/>
  <c r="A174" i="15" s="1"/>
  <c r="N174" i="15"/>
  <c r="O174" i="15"/>
  <c r="A177" i="15"/>
  <c r="C177" i="15"/>
  <c r="F177" i="15"/>
  <c r="A178" i="15"/>
  <c r="C178" i="15"/>
  <c r="F178" i="15"/>
  <c r="A179" i="15"/>
  <c r="C179" i="15"/>
  <c r="A180" i="15"/>
  <c r="G180" i="15"/>
  <c r="A183" i="15"/>
  <c r="A185" i="15"/>
  <c r="C185" i="15"/>
  <c r="D185" i="15"/>
  <c r="E185" i="15"/>
  <c r="F185" i="15"/>
  <c r="A186" i="15"/>
  <c r="C186" i="15"/>
  <c r="D186" i="15"/>
  <c r="E186" i="15"/>
  <c r="F186" i="15"/>
  <c r="A189" i="15"/>
  <c r="A190" i="15"/>
  <c r="A191" i="15"/>
  <c r="A192" i="15"/>
  <c r="A193" i="15"/>
  <c r="C194" i="15"/>
  <c r="D194" i="15"/>
  <c r="D196" i="15"/>
  <c r="D198" i="15" s="1"/>
  <c r="E194" i="15"/>
  <c r="A195" i="15"/>
  <c r="A196" i="15"/>
  <c r="C196" i="15"/>
  <c r="C198" i="15" s="1"/>
  <c r="E196" i="15"/>
  <c r="E198" i="15" s="1"/>
  <c r="E200" i="15" s="1"/>
  <c r="A197" i="15"/>
  <c r="A200" i="15"/>
  <c r="A203" i="15"/>
  <c r="A204" i="15"/>
  <c r="C204" i="15"/>
  <c r="C214" i="15" s="1"/>
  <c r="C223" i="15" s="1"/>
  <c r="C231" i="15" s="1"/>
  <c r="D204" i="15"/>
  <c r="D214" i="15" s="1"/>
  <c r="D223" i="15" s="1"/>
  <c r="D231" i="15" s="1"/>
  <c r="E204" i="15"/>
  <c r="E214" i="15" s="1"/>
  <c r="E223" i="15" s="1"/>
  <c r="E231" i="15" s="1"/>
  <c r="A205" i="15"/>
  <c r="A206" i="15"/>
  <c r="A207" i="15"/>
  <c r="A208" i="15"/>
  <c r="C208" i="15"/>
  <c r="A209" i="15"/>
  <c r="C209" i="15"/>
  <c r="E209" i="15"/>
  <c r="E210" i="15" s="1"/>
  <c r="A210" i="15"/>
  <c r="D210" i="15"/>
  <c r="A213" i="15"/>
  <c r="M215" i="15"/>
  <c r="A215" i="15" s="1"/>
  <c r="D215" i="15"/>
  <c r="E215" i="15"/>
  <c r="N215" i="15"/>
  <c r="O215" i="15"/>
  <c r="M216" i="15"/>
  <c r="A216" i="15" s="1"/>
  <c r="C216" i="15"/>
  <c r="D216" i="15"/>
  <c r="E216" i="15"/>
  <c r="N216" i="15"/>
  <c r="O216" i="15"/>
  <c r="A217" i="15"/>
  <c r="A218" i="15"/>
  <c r="A219" i="15"/>
  <c r="A222" i="15"/>
  <c r="A223" i="15"/>
  <c r="A224" i="15"/>
  <c r="A225" i="15"/>
  <c r="A226" i="15"/>
  <c r="C226" i="15"/>
  <c r="D226" i="15"/>
  <c r="E226" i="15"/>
  <c r="A227" i="15"/>
  <c r="A230" i="15"/>
  <c r="A231" i="15"/>
  <c r="A232" i="15"/>
  <c r="A233" i="15"/>
  <c r="A234" i="15"/>
  <c r="C234" i="15"/>
  <c r="D234" i="15"/>
  <c r="E234" i="15"/>
  <c r="A236" i="15"/>
  <c r="A237" i="15"/>
  <c r="A238" i="15"/>
  <c r="A239" i="15"/>
  <c r="A240" i="15"/>
  <c r="A241" i="15"/>
  <c r="A242" i="15"/>
  <c r="C242" i="15"/>
  <c r="D242" i="15"/>
  <c r="E242" i="15"/>
  <c r="A245" i="15"/>
  <c r="A246" i="15"/>
  <c r="A247" i="15"/>
  <c r="A248" i="15"/>
  <c r="A249" i="15"/>
  <c r="A250" i="15"/>
  <c r="A251" i="15"/>
  <c r="A252" i="15"/>
  <c r="A253" i="15"/>
  <c r="A256" i="15"/>
  <c r="A257" i="15"/>
  <c r="A258" i="15"/>
  <c r="C259" i="15"/>
  <c r="C258" i="15" s="1"/>
  <c r="D258" i="15"/>
  <c r="E258" i="15"/>
  <c r="F258" i="15"/>
  <c r="G258" i="15"/>
  <c r="A259" i="15"/>
  <c r="H259" i="15"/>
  <c r="A260" i="15"/>
  <c r="H260" i="15"/>
  <c r="A262" i="15"/>
  <c r="D262" i="15"/>
  <c r="E263" i="15"/>
  <c r="E264" i="15"/>
  <c r="H264" i="15" s="1"/>
  <c r="E271" i="15"/>
  <c r="E272" i="15"/>
  <c r="F272" i="15"/>
  <c r="F263" i="15"/>
  <c r="F262" i="15" s="1"/>
  <c r="F270" i="15" s="1"/>
  <c r="F271" i="15"/>
  <c r="G271" i="15"/>
  <c r="G262" i="15"/>
  <c r="G270" i="15" s="1"/>
  <c r="A263" i="15"/>
  <c r="A264" i="15"/>
  <c r="A266" i="15"/>
  <c r="C266" i="15"/>
  <c r="M267" i="15"/>
  <c r="A267" i="15" s="1"/>
  <c r="H267" i="15"/>
  <c r="N267" i="15"/>
  <c r="O267" i="15"/>
  <c r="M268" i="15"/>
  <c r="A268" i="15" s="1"/>
  <c r="C268" i="15"/>
  <c r="H268" i="15"/>
  <c r="N268" i="15"/>
  <c r="O268" i="15"/>
  <c r="M270" i="15"/>
  <c r="A270" i="15" s="1"/>
  <c r="N270" i="15"/>
  <c r="O270" i="15"/>
  <c r="A271" i="15"/>
  <c r="C271" i="15"/>
  <c r="C336" i="15" s="1"/>
  <c r="A272" i="15"/>
  <c r="M274" i="15"/>
  <c r="A274" i="15" s="1"/>
  <c r="H274" i="15"/>
  <c r="N274" i="15"/>
  <c r="O274" i="15"/>
  <c r="C292" i="15"/>
  <c r="D294" i="15"/>
  <c r="D292" i="15" s="1"/>
  <c r="E292" i="15"/>
  <c r="F292" i="15"/>
  <c r="G293" i="15"/>
  <c r="H292" i="15"/>
  <c r="C297" i="15"/>
  <c r="D297" i="15"/>
  <c r="E297" i="15"/>
  <c r="F297" i="15"/>
  <c r="G298" i="15"/>
  <c r="G299" i="15"/>
  <c r="G300" i="15"/>
  <c r="H298" i="15"/>
  <c r="H297" i="15" s="1"/>
  <c r="C302" i="15"/>
  <c r="D303" i="15"/>
  <c r="D302" i="15" s="1"/>
  <c r="E302" i="15"/>
  <c r="F302" i="15"/>
  <c r="G304" i="15"/>
  <c r="G305" i="15"/>
  <c r="H302" i="15"/>
  <c r="I302" i="15"/>
  <c r="C308" i="15"/>
  <c r="C307" i="15" s="1"/>
  <c r="D308" i="15"/>
  <c r="D309" i="15"/>
  <c r="G309" i="15" s="1"/>
  <c r="E308" i="15"/>
  <c r="E307" i="15" s="1"/>
  <c r="F308" i="15"/>
  <c r="F307" i="15" s="1"/>
  <c r="G310" i="15"/>
  <c r="H308" i="15"/>
  <c r="H307" i="15" s="1"/>
  <c r="I307" i="15"/>
  <c r="I309" i="15"/>
  <c r="C314" i="15"/>
  <c r="C315" i="15"/>
  <c r="E314" i="15"/>
  <c r="F314" i="15"/>
  <c r="D315" i="15"/>
  <c r="E315" i="15"/>
  <c r="F315" i="15"/>
  <c r="H314" i="15"/>
  <c r="H315" i="15"/>
  <c r="D336" i="15"/>
  <c r="D313" i="15" l="1"/>
  <c r="G170" i="15"/>
  <c r="F170" i="15" s="1"/>
  <c r="B307" i="15"/>
  <c r="C200" i="15"/>
  <c r="C313" i="15"/>
  <c r="C312" i="15" s="1"/>
  <c r="B160" i="15"/>
  <c r="E93" i="15"/>
  <c r="E103" i="15" s="1"/>
  <c r="E110" i="15" s="1"/>
  <c r="G297" i="15"/>
  <c r="D270" i="15"/>
  <c r="D276" i="15" s="1"/>
  <c r="C42" i="15"/>
  <c r="C93" i="15"/>
  <c r="G294" i="15"/>
  <c r="G292" i="15" s="1"/>
  <c r="H263" i="15"/>
  <c r="G144" i="15"/>
  <c r="G147" i="15" s="1"/>
  <c r="H271" i="15"/>
  <c r="E336" i="15" s="1"/>
  <c r="H272" i="15"/>
  <c r="H258" i="15"/>
  <c r="C210" i="15"/>
  <c r="D41" i="15"/>
  <c r="D42" i="15" s="1"/>
  <c r="D49" i="15" s="1"/>
  <c r="G177" i="15" s="1"/>
  <c r="E42" i="15"/>
  <c r="E49" i="15" s="1"/>
  <c r="C101" i="15"/>
  <c r="B93" i="15"/>
  <c r="B162" i="15" s="1"/>
  <c r="G303" i="15"/>
  <c r="G302" i="15" s="1"/>
  <c r="I129" i="15"/>
  <c r="I136" i="15"/>
  <c r="D200" i="15"/>
  <c r="B312" i="15"/>
  <c r="G276" i="15"/>
  <c r="H313" i="15"/>
  <c r="H312" i="15" s="1"/>
  <c r="F276" i="15"/>
  <c r="H144" i="15"/>
  <c r="H147" i="15" s="1"/>
  <c r="B200" i="15"/>
  <c r="E72" i="15"/>
  <c r="E70" i="15"/>
  <c r="D78" i="15"/>
  <c r="D84" i="15" s="1"/>
  <c r="D86" i="15" s="1"/>
  <c r="D103" i="15" s="1"/>
  <c r="D110" i="15" s="1"/>
  <c r="G174" i="15"/>
  <c r="D20" i="15"/>
  <c r="C263" i="15"/>
  <c r="C262" i="15" s="1"/>
  <c r="C270" i="15" s="1"/>
  <c r="C276" i="15" s="1"/>
  <c r="C18" i="15"/>
  <c r="G315" i="15"/>
  <c r="I143" i="15"/>
  <c r="F147" i="15"/>
  <c r="C47" i="15"/>
  <c r="E18" i="15"/>
  <c r="E20" i="15" s="1"/>
  <c r="E23" i="15" s="1"/>
  <c r="E25" i="15" s="1"/>
  <c r="B210" i="15"/>
  <c r="G186" i="15"/>
  <c r="I186" i="15" s="1"/>
  <c r="G185" i="15"/>
  <c r="I185" i="15" s="1"/>
  <c r="I131" i="15"/>
  <c r="I134" i="15" s="1"/>
  <c r="E134" i="15"/>
  <c r="C72" i="15"/>
  <c r="C70" i="15"/>
  <c r="E144" i="15"/>
  <c r="I142" i="15"/>
  <c r="D70" i="15"/>
  <c r="G178" i="15" s="1"/>
  <c r="D72" i="15"/>
  <c r="C154" i="15"/>
  <c r="D307" i="15"/>
  <c r="G308" i="15"/>
  <c r="G307" i="15" s="1"/>
  <c r="M307" i="15" s="1"/>
  <c r="E313" i="15"/>
  <c r="E262" i="15"/>
  <c r="E270" i="15" s="1"/>
  <c r="E276" i="15" s="1"/>
  <c r="D314" i="15"/>
  <c r="F313" i="15"/>
  <c r="F312" i="15" s="1"/>
  <c r="C49" i="15" l="1"/>
  <c r="H262" i="15"/>
  <c r="H270" i="15" s="1"/>
  <c r="H276" i="15" s="1"/>
  <c r="C78" i="15"/>
  <c r="C84" i="15" s="1"/>
  <c r="C86" i="15" s="1"/>
  <c r="C103" i="15" s="1"/>
  <c r="C110" i="15" s="1"/>
  <c r="C111" i="15" s="1"/>
  <c r="C20" i="15"/>
  <c r="D312" i="15"/>
  <c r="G314" i="15"/>
  <c r="G319" i="15" s="1"/>
  <c r="E312" i="15"/>
  <c r="G313" i="15"/>
  <c r="I144" i="15"/>
  <c r="I147" i="15" s="1"/>
  <c r="I148" i="15" s="1"/>
  <c r="E147" i="15"/>
  <c r="I270" i="15" l="1"/>
  <c r="G312" i="15"/>
  <c r="G317" i="15" s="1"/>
  <c r="G318" i="15"/>
  <c r="B54" i="15"/>
  <c r="B100" i="15"/>
  <c r="B44" i="15"/>
  <c r="B37" i="15"/>
  <c r="B41" i="15"/>
  <c r="B38" i="15"/>
  <c r="B61" i="15"/>
  <c r="B96" i="15"/>
  <c r="B40" i="15"/>
  <c r="B11" i="15"/>
  <c r="B85" i="15"/>
  <c r="B107" i="15"/>
  <c r="B66" i="15"/>
  <c r="B10" i="15"/>
  <c r="B62" i="15"/>
  <c r="B45" i="15"/>
  <c r="B99" i="15"/>
  <c r="B53" i="15"/>
  <c r="B36" i="15"/>
  <c r="B16" i="15"/>
  <c r="B39" i="15"/>
  <c r="B15" i="15"/>
  <c r="B67" i="15"/>
  <c r="B63" i="15"/>
  <c r="B97" i="15"/>
  <c r="B46" i="15"/>
  <c r="B98" i="15"/>
  <c r="B17" i="15"/>
  <c r="B57" i="15"/>
  <c r="B12" i="15"/>
  <c r="B13" i="15"/>
  <c r="B19" i="15"/>
  <c r="B81" i="15"/>
  <c r="B24" i="15"/>
  <c r="B68" i="15" l="1"/>
  <c r="B42" i="15"/>
  <c r="B79" i="15"/>
  <c r="G163" i="15"/>
  <c r="F163" i="15" s="1"/>
  <c r="B163" i="15"/>
  <c r="G156" i="15"/>
  <c r="F156" i="15" s="1"/>
  <c r="B64" i="15"/>
  <c r="G155" i="15"/>
  <c r="F155" i="15" s="1"/>
  <c r="B266" i="15"/>
  <c r="B80" i="15"/>
  <c r="B268" i="15"/>
  <c r="B82" i="15"/>
  <c r="G157" i="15"/>
  <c r="E157" i="15" s="1"/>
  <c r="B47" i="15"/>
  <c r="B55" i="15"/>
  <c r="B58" i="15" s="1"/>
  <c r="B101" i="15"/>
  <c r="B108" i="15"/>
  <c r="B14" i="15"/>
  <c r="B154" i="15" s="1"/>
  <c r="G153" i="15"/>
  <c r="B259" i="15"/>
  <c r="B258" i="15" s="1"/>
  <c r="B153" i="15"/>
  <c r="J81" i="15"/>
  <c r="B263" i="15" l="1"/>
  <c r="B262" i="15" s="1"/>
  <c r="B270" i="15" s="1"/>
  <c r="B276" i="15" s="1"/>
  <c r="B18" i="15"/>
  <c r="B78" i="15" s="1"/>
  <c r="B84" i="15" s="1"/>
  <c r="B86" i="15" s="1"/>
  <c r="B103" i="15" s="1"/>
  <c r="B110" i="15" s="1"/>
  <c r="B111" i="15" s="1"/>
  <c r="B72" i="15"/>
  <c r="G154" i="15"/>
  <c r="B49" i="15"/>
  <c r="B70" i="15"/>
  <c r="G161" i="15" s="1"/>
  <c r="K49" i="15"/>
  <c r="B20" i="15" l="1"/>
  <c r="B23" i="15" s="1"/>
  <c r="B25" i="15" s="1"/>
  <c r="G158" i="15"/>
  <c r="K72" i="15"/>
  <c r="G160" i="15"/>
  <c r="K2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JKJ001-RADMIN (Joachim Kjellman)</author>
  </authors>
  <commentList>
    <comment ref="B16" authorId="0" shapeId="0" xr:uid="{00000000-0006-0000-2C00-000001000000}">
      <text>
        <r>
          <rPr>
            <b/>
            <sz val="8"/>
            <color indexed="81"/>
            <rFont val="Tahoma"/>
            <family val="2"/>
          </rPr>
          <t>ASSA MEUR 63</t>
        </r>
      </text>
    </comment>
  </commentList>
</comments>
</file>

<file path=xl/sharedStrings.xml><?xml version="1.0" encoding="utf-8"?>
<sst xmlns="http://schemas.openxmlformats.org/spreadsheetml/2006/main" count="2921" uniqueCount="1665">
  <si>
    <t>Veroneuvonta</t>
  </si>
  <si>
    <t>Muut palvelut</t>
  </si>
  <si>
    <t>Tilinpäätöskurssi</t>
  </si>
  <si>
    <t>Keskikurssi</t>
  </si>
  <si>
    <t>GBP</t>
  </si>
  <si>
    <t>JPY</t>
  </si>
  <si>
    <t>INR</t>
  </si>
  <si>
    <t>Förändring i kortfristiga lån och övriga förändringar</t>
  </si>
  <si>
    <t>Likvidit varat tilikauden alussa</t>
  </si>
  <si>
    <t>Likvida medel vid räkenskapsperiodens början</t>
  </si>
  <si>
    <t>Likvidit varat tilikauden lopussa</t>
  </si>
  <si>
    <t>Likvida medel vid räkenskapsperiodens slut</t>
  </si>
  <si>
    <t xml:space="preserve"> 1-3/2005</t>
  </si>
  <si>
    <t>Jakautuminen:</t>
  </si>
  <si>
    <t>Attributable to:</t>
  </si>
  <si>
    <t>Fördelning:</t>
  </si>
  <si>
    <t>Moderbolagets aktieägare</t>
  </si>
  <si>
    <t>Minoriteten</t>
  </si>
  <si>
    <t>Pitkäaikaiset varat</t>
  </si>
  <si>
    <t>Non-current assets</t>
  </si>
  <si>
    <t>Tillgångar som kan säljas</t>
  </si>
  <si>
    <t>Lyhytaikaiset varat</t>
  </si>
  <si>
    <t>Current assets</t>
  </si>
  <si>
    <t>Oma pääoma</t>
  </si>
  <si>
    <t>Shareholders' equity</t>
  </si>
  <si>
    <t>Eget kapital</t>
  </si>
  <si>
    <t>Pitkäaikaiset velat</t>
  </si>
  <si>
    <t>Long-term liabilities</t>
  </si>
  <si>
    <t xml:space="preserve">  x 100</t>
  </si>
  <si>
    <t>Osake-
pääoma</t>
  </si>
  <si>
    <t>Muunto-
erot</t>
  </si>
  <si>
    <t>Arvon-
muutos-
rahasto</t>
  </si>
  <si>
    <t>Oma 
pääoma 
yhteensä</t>
  </si>
  <si>
    <t>Wärtsilä Peru S.A.C.</t>
  </si>
  <si>
    <t>Korkokulut käypään arvoon tulosvaikutteisesti kirjattavista rahoitusveloista</t>
  </si>
  <si>
    <t>Muut laajan tuloksen erät verojen jälkeen:</t>
  </si>
  <si>
    <t>Share of result of associates and joint ventures</t>
  </si>
  <si>
    <t>Vakuutusmaksut</t>
  </si>
  <si>
    <t>Vuokrajaksotukset</t>
  </si>
  <si>
    <t>Kiinteistökiinnitykset</t>
  </si>
  <si>
    <t>Mortgages</t>
  </si>
  <si>
    <t>Vaihto-omaisuuden lisäys (-) / vähennys (+)</t>
  </si>
  <si>
    <t xml:space="preserve">  Placeringer</t>
  </si>
  <si>
    <t>Q1/2006</t>
  </si>
  <si>
    <t>Q3/2005</t>
  </si>
  <si>
    <t>Q2/2005</t>
  </si>
  <si>
    <t>Q1/2005</t>
  </si>
  <si>
    <t>Q4/2005</t>
  </si>
  <si>
    <t>Share of result in ass.comp</t>
  </si>
  <si>
    <t>Dividends and selling profit of assets avaiable for sale</t>
  </si>
  <si>
    <t>Financial income &amp; expenses</t>
  </si>
  <si>
    <t>Panfi</t>
  </si>
  <si>
    <t>Mij.euroa</t>
  </si>
  <si>
    <t>Liikevaihhto</t>
  </si>
  <si>
    <t>Valmiiden ja keskeneräisten tuotteiden varastojen muutos</t>
  </si>
  <si>
    <t>Wärtsilä Egypt Power S.A.E</t>
  </si>
  <si>
    <t>Wärtsilä Ship Design Poland Sp.z.o.o.</t>
  </si>
  <si>
    <t xml:space="preserve">   On behalf of Group companies</t>
  </si>
  <si>
    <t>Repropel Sociedad de reparacao de helices</t>
  </si>
  <si>
    <t>Wärtsilä Technology Oy Ab</t>
  </si>
  <si>
    <t>Wärtsilä Pakistan (Pvt.) Ltd.</t>
  </si>
  <si>
    <t>Wärtsilä Bangladesh Ltd.</t>
  </si>
  <si>
    <t>Wärtsilä Power Contracting Saudi Arabia Ltd.</t>
  </si>
  <si>
    <t>Wärtsilä Gulf FZE</t>
  </si>
  <si>
    <t>Wärtsilä South Africa (Pty) Ltd.</t>
  </si>
  <si>
    <t>Valmiit tuotteet ja tavarat</t>
  </si>
  <si>
    <t xml:space="preserve">   Power Businesses and Holdings</t>
  </si>
  <si>
    <t xml:space="preserve">   Power-liiketoiminnat ja Sijoitukset</t>
  </si>
  <si>
    <t xml:space="preserve">   Power affärsområden och Placeringar</t>
  </si>
  <si>
    <t>Nettovoitot myytävissä olevista sijoituksista</t>
  </si>
  <si>
    <t>Sijoitukset</t>
  </si>
  <si>
    <t>Rahavirran suojaukset verojen jälkeen</t>
  </si>
  <si>
    <t>Kassaflödessäkring efter skatt</t>
  </si>
  <si>
    <t>Wärtsilä New Zealand Ltd</t>
  </si>
  <si>
    <t>Uusi-Seelanti</t>
  </si>
  <si>
    <t>Wärtsilä PNG Ltd</t>
  </si>
  <si>
    <t>Papua-Uusi-Guinea</t>
  </si>
  <si>
    <t>Uganda</t>
  </si>
  <si>
    <t>Wärtsilä Uganda Ltd.</t>
  </si>
  <si>
    <t>Wärtsilä Tanzania Ltd</t>
  </si>
  <si>
    <t>Tansania</t>
  </si>
  <si>
    <t>Wärtsilä Ships Repairing &amp; Maintenance LLC</t>
  </si>
  <si>
    <t>Wärtsilä Ship Design Singapore Pte Ltd</t>
  </si>
  <si>
    <t>Osuudet osakkuus- ja yhteisyrityksissä</t>
  </si>
  <si>
    <t>Lainasaamiset</t>
  </si>
  <si>
    <t>Loan receivables</t>
  </si>
  <si>
    <t>Lånefordringar</t>
  </si>
  <si>
    <t>Rahat ja pankkisaamiset</t>
  </si>
  <si>
    <t>Cash and bank balances</t>
  </si>
  <si>
    <t>Kassa och bank</t>
  </si>
  <si>
    <t>Netto</t>
  </si>
  <si>
    <t>Net</t>
  </si>
  <si>
    <t>TUNNUSLUKUJA</t>
  </si>
  <si>
    <t>FINANCIAL RATIOS</t>
  </si>
  <si>
    <t>NYCKELTAL</t>
  </si>
  <si>
    <t>Oma pääoma/osake, EUR</t>
  </si>
  <si>
    <t>Shareholders' equity/share, EUR</t>
  </si>
  <si>
    <t>Omavaraisuusaste, %</t>
  </si>
  <si>
    <t>Solvency ratio, %</t>
  </si>
  <si>
    <t>Fastighetsinteckningar</t>
  </si>
  <si>
    <t>Yrityskiinnitykset</t>
  </si>
  <si>
    <t>Chattel mortgages</t>
  </si>
  <si>
    <t>Företagsinteckningar</t>
  </si>
  <si>
    <t>Vieras pääoma yhteensä</t>
  </si>
  <si>
    <t>Främmande kapital totalt</t>
  </si>
  <si>
    <t>Pitkäaikaiset rahoitusvarat</t>
  </si>
  <si>
    <t>Lyhytaikaiset rahoitusvarat</t>
  </si>
  <si>
    <t>Pitkäaikaiset rahoitusvelat</t>
  </si>
  <si>
    <t>Lyhytaikaiset rahoitusvelat</t>
  </si>
  <si>
    <t>Myyntisaamisten ikäjakauma</t>
  </si>
  <si>
    <t>earnings</t>
  </si>
  <si>
    <t>kapital</t>
  </si>
  <si>
    <t>fond</t>
  </si>
  <si>
    <t>differens</t>
  </si>
  <si>
    <t>värde</t>
  </si>
  <si>
    <t>vinst</t>
  </si>
  <si>
    <t>Share capital</t>
  </si>
  <si>
    <t>Överlåtelseinkomster från aktier</t>
  </si>
  <si>
    <t>Amortization of long-term loans</t>
  </si>
  <si>
    <t>Cash and cash equivalents at end of period</t>
  </si>
  <si>
    <t>IAS 39 applied on 1 January 2005</t>
  </si>
  <si>
    <t>Total recognized income and expense for the period</t>
  </si>
  <si>
    <t>Resultat före skatter</t>
  </si>
  <si>
    <t>Omsättningtillgångar</t>
  </si>
  <si>
    <t>Finansiella intäkter och kostnader samt inkomstskatter</t>
  </si>
  <si>
    <t>31.03.2006</t>
  </si>
  <si>
    <t>Investoinnit</t>
  </si>
  <si>
    <t>Vastaavaa</t>
  </si>
  <si>
    <t xml:space="preserve">   Power-liiketoiminnat</t>
  </si>
  <si>
    <t xml:space="preserve">   Power Businesses</t>
  </si>
  <si>
    <t xml:space="preserve">   Power affärsområden</t>
  </si>
  <si>
    <t>Power Businesses</t>
  </si>
  <si>
    <t>Power affärsområden</t>
  </si>
  <si>
    <t>Emoyhtiön osakkeenomistajat</t>
  </si>
  <si>
    <t>Vähemmistö</t>
  </si>
  <si>
    <t>Muut velat</t>
  </si>
  <si>
    <t>Lyhytaikaisten lainojen lisäys (+) / vähennys (-)</t>
  </si>
  <si>
    <t>Muut 
aineettomat 
hyödykkeet</t>
  </si>
  <si>
    <t>Neptun Maritime AS</t>
  </si>
  <si>
    <t>Norja</t>
  </si>
  <si>
    <t>Kiina</t>
  </si>
  <si>
    <t>Panfi per Segment</t>
  </si>
  <si>
    <t>EBIT</t>
  </si>
  <si>
    <t>Aineelliset ja aineettomat hyödykkeet</t>
  </si>
  <si>
    <t>Other shareholders' equity</t>
  </si>
  <si>
    <t>Omsättning</t>
  </si>
  <si>
    <t>Kostnader</t>
  </si>
  <si>
    <t>Finansiella intäkter och kostnader</t>
  </si>
  <si>
    <t>Aktiekapital</t>
  </si>
  <si>
    <t>Övrigt eget kapital</t>
  </si>
  <si>
    <t>Resultatandel i intresseföretag</t>
  </si>
  <si>
    <t>Convertible subordinated debentures</t>
  </si>
  <si>
    <t>Muut investoinnit</t>
  </si>
  <si>
    <t>Other investments</t>
  </si>
  <si>
    <t>Övriga investeringar</t>
  </si>
  <si>
    <t>Konserni</t>
  </si>
  <si>
    <t>Group</t>
  </si>
  <si>
    <t>Koncernen</t>
  </si>
  <si>
    <t>KOROLLINEN LAINAPÄÄOMA</t>
  </si>
  <si>
    <t>RÄNTEBÄRANDE FRÄMMANDE KAPITAL</t>
  </si>
  <si>
    <t>Lyhytaikaiset velat</t>
  </si>
  <si>
    <t>Current liabilities</t>
  </si>
  <si>
    <t>Vaihdettava pääomalaina</t>
  </si>
  <si>
    <t>Konvertibelt kapitallån</t>
  </si>
  <si>
    <t>Other comprehensive income</t>
  </si>
  <si>
    <t xml:space="preserve">  Power</t>
  </si>
  <si>
    <t xml:space="preserve">  Imatra</t>
  </si>
  <si>
    <t>Nettoinvesteringar i materiella och immateriella tillgångar</t>
  </si>
  <si>
    <t>Kursdifferenser</t>
  </si>
  <si>
    <t xml:space="preserve">   vinst / förlust vid värdering till verkligt värde efter skatt</t>
  </si>
  <si>
    <t>Italia</t>
  </si>
  <si>
    <t>Aineellinen käyttöomaisuus</t>
  </si>
  <si>
    <t>Property, plant and equipment</t>
  </si>
  <si>
    <t>Equity in associates</t>
  </si>
  <si>
    <t>Innehav i intresseföretag</t>
  </si>
  <si>
    <t>Shareholders' equity and liabilities</t>
  </si>
  <si>
    <t>Sammanställning över förändringar i eget kapital</t>
  </si>
  <si>
    <t>Statement of changes in shareholders' equity</t>
  </si>
  <si>
    <t>Dividends paid</t>
  </si>
  <si>
    <t>Resultat per aktie, euro</t>
  </si>
  <si>
    <t>Financial income and expenses</t>
  </si>
  <si>
    <t>Liiketoiminnan rahavirta:</t>
  </si>
  <si>
    <t>Cash flow from operating activities:</t>
  </si>
  <si>
    <t>Rörelseverksamhetens kassaflöde:</t>
  </si>
  <si>
    <t>Operating result</t>
  </si>
  <si>
    <t>Käyttöomaisuuden myyntivoitot ja -tappiot ja muut oikaisut</t>
  </si>
  <si>
    <t>Henkilöstökulut</t>
  </si>
  <si>
    <t>JOHDANNAISTEN NIMELLISARVO</t>
  </si>
  <si>
    <t>NOMINAL VALUES OF DERIVATIVE INSTRUMENTS</t>
  </si>
  <si>
    <t>DERIVATINSTRUMENTENS NOMINELLA VÄRDEN</t>
  </si>
  <si>
    <t>Korko-optiot, ostetut</t>
  </si>
  <si>
    <t>Interest rate options, purchased</t>
  </si>
  <si>
    <t>Ränteoptioner, köpta</t>
  </si>
  <si>
    <t>Korko-optiot, asetetut</t>
  </si>
  <si>
    <t>Interest rate options, written</t>
  </si>
  <si>
    <t>Ränteoptioner, utfärdade</t>
  </si>
  <si>
    <t>Koronvaihtosopimukset</t>
  </si>
  <si>
    <t>Interest rate swaps</t>
  </si>
  <si>
    <t>Ränteswappar</t>
  </si>
  <si>
    <t>Korkofutuurit</t>
  </si>
  <si>
    <t>Interest rate futures</t>
  </si>
  <si>
    <t>Investeringar i aktier och företagsförvärv</t>
  </si>
  <si>
    <t>Affärsområdessegment 1-6/2005</t>
  </si>
  <si>
    <t>Liiketoimintasegmentit 1-6/2006</t>
  </si>
  <si>
    <t>Tanska</t>
  </si>
  <si>
    <t>Ruotsi</t>
  </si>
  <si>
    <t>Saksa</t>
  </si>
  <si>
    <t>Viro</t>
  </si>
  <si>
    <t>Iso-Britannia</t>
  </si>
  <si>
    <t>Puola</t>
  </si>
  <si>
    <t>Kreikka</t>
  </si>
  <si>
    <t>Turkki</t>
  </si>
  <si>
    <t>Egypti</t>
  </si>
  <si>
    <t>USA</t>
  </si>
  <si>
    <t>Kanada</t>
  </si>
  <si>
    <t>Meksiko</t>
  </si>
  <si>
    <t>Puerto Rico</t>
  </si>
  <si>
    <t>Dominikaaninen tasavalta</t>
  </si>
  <si>
    <t>Sri Lanka</t>
  </si>
  <si>
    <t>Guatemala</t>
  </si>
  <si>
    <t>Chile</t>
  </si>
  <si>
    <t>Ecuador</t>
  </si>
  <si>
    <t>Brasilia</t>
  </si>
  <si>
    <t>Kolumbia</t>
  </si>
  <si>
    <t>Peru</t>
  </si>
  <si>
    <t>Singapore</t>
  </si>
  <si>
    <t>Hong Kong</t>
  </si>
  <si>
    <t>Etelä-Korea</t>
  </si>
  <si>
    <t>Taiwan</t>
  </si>
  <si>
    <t>Australia</t>
  </si>
  <si>
    <t>Intia</t>
  </si>
  <si>
    <t>Pakistan</t>
  </si>
  <si>
    <t>Laaja tuloslaskelma</t>
  </si>
  <si>
    <t>Leasingvuokrasopimusten mukaisten vuokrien nimellisarvot</t>
  </si>
  <si>
    <t>30.06.2005</t>
  </si>
  <si>
    <t>31.12.2005</t>
  </si>
  <si>
    <t>Oma pääoma 30.06.2006</t>
  </si>
  <si>
    <t>Shareholders' equity on 30 June 2006</t>
  </si>
  <si>
    <t>Ylikurssi-
rahasto</t>
  </si>
  <si>
    <t>Cash flow hedges after taxes</t>
  </si>
  <si>
    <t xml:space="preserve">Power </t>
  </si>
  <si>
    <t>Holdings</t>
  </si>
  <si>
    <t>Unallocated</t>
  </si>
  <si>
    <t xml:space="preserve">Group </t>
  </si>
  <si>
    <t xml:space="preserve">Placeringar </t>
  </si>
  <si>
    <t>Oallokerad</t>
  </si>
  <si>
    <t xml:space="preserve">Businesses </t>
  </si>
  <si>
    <t>affärsområden</t>
  </si>
  <si>
    <t>INTEREST-BEARING LOAN CAPITAL</t>
  </si>
  <si>
    <t>Personnel at end of period</t>
  </si>
  <si>
    <t>Affärsområdessegment 1-6/2006</t>
  </si>
  <si>
    <t>ACT2006</t>
  </si>
  <si>
    <t>WA</t>
  </si>
  <si>
    <t>CORP</t>
  </si>
  <si>
    <t>S300000</t>
  </si>
  <si>
    <t>S340001</t>
  </si>
  <si>
    <t>S400000</t>
  </si>
  <si>
    <t>S700000</t>
  </si>
  <si>
    <t>S500001</t>
  </si>
  <si>
    <t>S601001</t>
  </si>
  <si>
    <t>S800003</t>
  </si>
  <si>
    <t>S880000</t>
  </si>
  <si>
    <t>Totalt</t>
  </si>
  <si>
    <t>Takaukset ja vastuusitoumukset</t>
  </si>
  <si>
    <t>Guarantees and contingent liabilities</t>
  </si>
  <si>
    <t>Borgens- och ansvarsförbindelser</t>
  </si>
  <si>
    <t>Kertyneet</t>
  </si>
  <si>
    <t>voittovarat</t>
  </si>
  <si>
    <t>Earnings per share, EUR</t>
  </si>
  <si>
    <t>Nettovelkaantumisaste</t>
  </si>
  <si>
    <t>Eget kapital/aktie, euro</t>
  </si>
  <si>
    <t>Soliditet, %</t>
  </si>
  <si>
    <t>Nettoskuldsättningsgrad</t>
  </si>
  <si>
    <t>Tillgångar</t>
  </si>
  <si>
    <t>Wärtsilä Propulsion (Wuxi) Co. Ltd.</t>
  </si>
  <si>
    <t xml:space="preserve">Wärtsilä Korea Ltd. </t>
  </si>
  <si>
    <t>Wärtsilä Taiwan Ltd.</t>
  </si>
  <si>
    <t>Wärtsilä Philippines Inc.</t>
  </si>
  <si>
    <t>PT. Wärtsilä Indonesia</t>
  </si>
  <si>
    <t>Wärtsilä Australia Pty Ltd.</t>
  </si>
  <si>
    <t>Wärtsilä India Ltd.</t>
  </si>
  <si>
    <t>Wärtsilä Hyundai Engine Co Ltd.</t>
  </si>
  <si>
    <t>Varastojen muutos</t>
  </si>
  <si>
    <t>Ulkopuoliset palvelut</t>
  </si>
  <si>
    <t>Herkkyysanalyysi</t>
  </si>
  <si>
    <t>Kirjaamattomien verotappioiden hyödyntäminen</t>
  </si>
  <si>
    <t>Wärtsilä Brasil Ltda.</t>
  </si>
  <si>
    <t>CONDENSED CASH FLOW STATEMENT</t>
  </si>
  <si>
    <t>KASSAFLÖDESANALYS I SAMMANDRAG</t>
  </si>
  <si>
    <t>Julkiset avustukset</t>
  </si>
  <si>
    <t>Sivutuotteiden myyntituotot</t>
  </si>
  <si>
    <t xml:space="preserve">   För egen del</t>
  </si>
  <si>
    <t xml:space="preserve">   För intressebolag</t>
  </si>
  <si>
    <t xml:space="preserve">   On behalf of associated companies</t>
  </si>
  <si>
    <t xml:space="preserve">   Osakkuusyhtiöiden puolesta</t>
  </si>
  <si>
    <t xml:space="preserve">   Muiden puolesta</t>
  </si>
  <si>
    <t xml:space="preserve">Leasingvuokrasopimusten mukaisten </t>
  </si>
  <si>
    <t>vuokrien nimellisarvot</t>
  </si>
  <si>
    <t xml:space="preserve">Nominal amounts of rents according </t>
  </si>
  <si>
    <t>to leasing contracts</t>
  </si>
  <si>
    <t xml:space="preserve">Nominellt belopp av hyror </t>
  </si>
  <si>
    <t>enligt leasingavtal</t>
  </si>
  <si>
    <t>TULOSLASKELMA NELJÄNNEKSITTÄIN</t>
  </si>
  <si>
    <t>INCOME STATEMENT, QUARTERLY</t>
  </si>
  <si>
    <t>RESULTATRÄKNING PER KVARTAL</t>
  </si>
  <si>
    <t>Kassaflöde från övriga investeringar</t>
  </si>
  <si>
    <t>Rahoituksen rahavirta:</t>
  </si>
  <si>
    <t>Pitkäaikaiset korolliset velat</t>
  </si>
  <si>
    <t>Lyhytaikaiset korolliset velat</t>
  </si>
  <si>
    <t>Maantieteellinen informaatio</t>
  </si>
  <si>
    <t>Aineettomat hyödykkeet</t>
  </si>
  <si>
    <t>Liikearvo</t>
  </si>
  <si>
    <t>Aineelliset hyödykkeet</t>
  </si>
  <si>
    <t>Kirjanpitoarvo 1.1.</t>
  </si>
  <si>
    <t>Osuus tuloksesta</t>
  </si>
  <si>
    <t>Osingot</t>
  </si>
  <si>
    <t>Valuuttakurssimuutokset</t>
  </si>
  <si>
    <t>Kirjanpitoarvo 31.12.</t>
  </si>
  <si>
    <t>Business segments 1-6/2006</t>
  </si>
  <si>
    <t>Omistus-%</t>
  </si>
  <si>
    <t>Tulos/osake, EUR</t>
  </si>
  <si>
    <t>Laimennettu tulos/osake, EUR</t>
  </si>
  <si>
    <t>Investments available for sale</t>
  </si>
  <si>
    <t>Services</t>
  </si>
  <si>
    <t>Ulkomaisten tytäryhtiöiden eriävien verokantojen vaikutus</t>
  </si>
  <si>
    <t xml:space="preserve">31–180 päivää erääntyneet </t>
  </si>
  <si>
    <t xml:space="preserve">181–360 päivää erääntyneet </t>
  </si>
  <si>
    <t>Osakehintariski</t>
  </si>
  <si>
    <t>Likviditeetti- ja jälleenrahoitusriski</t>
  </si>
  <si>
    <t>Tämänhetkiset rahoitusohjelmat sisältävät:</t>
  </si>
  <si>
    <t>Ostot tilikauden aikana</t>
  </si>
  <si>
    <t>TEUR</t>
  </si>
  <si>
    <t>Laskennallisten verojen muutos</t>
  </si>
  <si>
    <t>Johdannaisinstrumenttien markkina-arvostukset (taso 2)</t>
  </si>
  <si>
    <t>Arvonlisäverovelat</t>
  </si>
  <si>
    <t>Arvonmuutosrahasto</t>
  </si>
  <si>
    <t>Kertyneet voittovarat</t>
  </si>
  <si>
    <t>Eläkevelvoitteet</t>
  </si>
  <si>
    <t>Cash flow from financing activities:</t>
  </si>
  <si>
    <t>Finansieringens kassaflöde:</t>
  </si>
  <si>
    <t>Maksullinen osakeanti</t>
  </si>
  <si>
    <t>Kirjanpitoarvo arvostusryhmittäin</t>
  </si>
  <si>
    <t>Tilauskanta</t>
  </si>
  <si>
    <t>Investeringarnas kassaflöde</t>
  </si>
  <si>
    <t>Finansieringens kassaflöde</t>
  </si>
  <si>
    <t>Cash flow from financing activities</t>
  </si>
  <si>
    <t>Rahoituksen rahavirta</t>
  </si>
  <si>
    <t>Kohdista-</t>
  </si>
  <si>
    <t>mattomat</t>
  </si>
  <si>
    <t>Rahoitustuotot ja kulut sekä osingot</t>
  </si>
  <si>
    <t>Finansiella intäkter och kostnader, dividender</t>
  </si>
  <si>
    <t>Financial income and expenses, dividends</t>
  </si>
  <si>
    <t>Velat</t>
  </si>
  <si>
    <t>Liabilities</t>
  </si>
  <si>
    <t>Investments</t>
  </si>
  <si>
    <t>Skulder</t>
  </si>
  <si>
    <t>Investeringar</t>
  </si>
  <si>
    <t xml:space="preserve"> 1-3/2006</t>
  </si>
  <si>
    <t>Maantieteelliset segmentit</t>
  </si>
  <si>
    <t>Geographical segments</t>
  </si>
  <si>
    <t>Geografiska segment</t>
  </si>
  <si>
    <t>Eurooppa</t>
  </si>
  <si>
    <t>Aasia</t>
  </si>
  <si>
    <t>Amerikka</t>
  </si>
  <si>
    <t>oma pääoma, keskimäärin tilikauden aikana</t>
  </si>
  <si>
    <t>korko- ja muut rahoituskulut</t>
  </si>
  <si>
    <t>oma pääoma</t>
  </si>
  <si>
    <t>Johdannaiset</t>
  </si>
  <si>
    <t>Wärtsilä West Africa S.A.</t>
  </si>
  <si>
    <t>Kamerun</t>
  </si>
  <si>
    <t>Unkari</t>
  </si>
  <si>
    <t>&lt; 1 vuosi</t>
  </si>
  <si>
    <t>Laskelma oman pääoman muutoksista</t>
  </si>
  <si>
    <t>Omräkningsdifferenser</t>
  </si>
  <si>
    <t>Translation differences</t>
  </si>
  <si>
    <t>Muuntoerot</t>
  </si>
  <si>
    <t>Maksetut osingot</t>
  </si>
  <si>
    <t>Nettovinst på tillgångar som kan säljas</t>
  </si>
  <si>
    <t>Tunnuslukujen laskentakaavat</t>
  </si>
  <si>
    <t>Sijoitetun pääoman tuotto (ROI)</t>
  </si>
  <si>
    <t>tulos ennen veroja + korko- ja muut rahoituskulut</t>
  </si>
  <si>
    <t>Oman pääoman tuotto (ROE)</t>
  </si>
  <si>
    <t>Gearing</t>
  </si>
  <si>
    <t>HENKILÖSTÖ</t>
  </si>
  <si>
    <t>PERSONNEL</t>
  </si>
  <si>
    <t>ANTAL ANSTÄLLDA</t>
  </si>
  <si>
    <t>Keskimäärin</t>
  </si>
  <si>
    <t>On average</t>
  </si>
  <si>
    <t>I medeltal</t>
  </si>
  <si>
    <t>Henkilöstö kauden lopussa</t>
  </si>
  <si>
    <t>Antal anställda i slutet av perioden</t>
  </si>
  <si>
    <t>VASTUUSITOUMUKSET</t>
  </si>
  <si>
    <t>Konsernin tuloslaskelma</t>
  </si>
  <si>
    <t>Nettoinvestoinnit aineellisiin ja aineettomiin hyödykkeisiin</t>
  </si>
  <si>
    <t>Net investments in tangible and intangible assets</t>
  </si>
  <si>
    <t>Investoinnit osakkeisiin ja yritysostot</t>
  </si>
  <si>
    <t>Wärtsilä Land &amp; Sea Academy, Inc.</t>
  </si>
  <si>
    <t>Filippiinit</t>
  </si>
  <si>
    <t>Senegal</t>
  </si>
  <si>
    <t>Saadut ennakot</t>
  </si>
  <si>
    <t>Korottomien velkojen lisäys (+) / vähennys (-)</t>
  </si>
  <si>
    <t>Anläggningstillgångar, långfristiga</t>
  </si>
  <si>
    <t>Varat yhteensä</t>
  </si>
  <si>
    <t>Oma pääoma ja velat yhteensä</t>
  </si>
  <si>
    <t>Wärtsilä Vostok, LLC</t>
  </si>
  <si>
    <t>Wärtsilä Hungary Kft</t>
  </si>
  <si>
    <t>Wärtsilä Lanka Ltd.</t>
  </si>
  <si>
    <t>Wärtsilä Azerbaijan LLC</t>
  </si>
  <si>
    <t>Wärtsilä Central Africa Ltd.</t>
  </si>
  <si>
    <t>Wärtsilä UK Ltd</t>
  </si>
  <si>
    <t>Wärtsilä Eastern Africa S.A.</t>
  </si>
  <si>
    <t>Argentiina</t>
  </si>
  <si>
    <t>Panama</t>
  </si>
  <si>
    <t>Indonesia</t>
  </si>
  <si>
    <t>Azerbaidzan</t>
  </si>
  <si>
    <t>Varaukset</t>
  </si>
  <si>
    <t>Rahoituserät ja verot:</t>
  </si>
  <si>
    <t>Rahoituserät ja verot</t>
  </si>
  <si>
    <t>S110000</t>
  </si>
  <si>
    <t>S148010</t>
  </si>
  <si>
    <t>&gt; 5 vuotta</t>
  </si>
  <si>
    <t>Aineellisten ja aineettomien hyödykkeiden myynnit</t>
  </si>
  <si>
    <t>Investoinnit aineellisiin ja aineettomiin hyödykkeisiin</t>
  </si>
  <si>
    <t>osuus</t>
  </si>
  <si>
    <t>Eget kapital 31.12.2004</t>
  </si>
  <si>
    <t>Power</t>
  </si>
  <si>
    <t>liiketoiminta</t>
  </si>
  <si>
    <t>Imatra</t>
  </si>
  <si>
    <t>Steel</t>
  </si>
  <si>
    <t>Långfristiga skulder</t>
  </si>
  <si>
    <t>BRUTTOINVESTOINNIT</t>
  </si>
  <si>
    <t>GROSS CAPITAL EXPENDITURE</t>
  </si>
  <si>
    <t>BRUTTOINVESTERINGAR</t>
  </si>
  <si>
    <t>Osakkeet ja yritysostot</t>
  </si>
  <si>
    <t>Investments in securities and acquisitions</t>
  </si>
  <si>
    <t>Aktier och företagsköp</t>
  </si>
  <si>
    <t xml:space="preserve">   Imatra Steel</t>
  </si>
  <si>
    <t>Yli vuoden erääntyneet</t>
  </si>
  <si>
    <t>Osakkeet tuhansina</t>
  </si>
  <si>
    <t>Vahvistetut verotappiot</t>
  </si>
  <si>
    <t xml:space="preserve">Muut siirtosaamiset </t>
  </si>
  <si>
    <t>Arvonlisäverosaamiset</t>
  </si>
  <si>
    <t>Pitkäaikainen</t>
  </si>
  <si>
    <t>Lyhytaikainen</t>
  </si>
  <si>
    <t>Issuance of share capital</t>
  </si>
  <si>
    <t>Aktieteckning</t>
  </si>
  <si>
    <t>Tillämpning av IAS 39 1.1.2005</t>
  </si>
  <si>
    <t>IAS 39:n soveltaminen 1.1.2005</t>
  </si>
  <si>
    <t>Myytävissä olevien sijoitusten</t>
  </si>
  <si>
    <t>Available-for-sale investments</t>
  </si>
  <si>
    <t>Finansiella tillgångar som kan säljas</t>
  </si>
  <si>
    <t xml:space="preserve">   arvonmuutokset verojen jälkeen</t>
  </si>
  <si>
    <t xml:space="preserve">   siirretty tuloslaskelmaan, veroilla vähennettynä</t>
  </si>
  <si>
    <t xml:space="preserve">   redovisats över resultaträkning efter skatt</t>
  </si>
  <si>
    <t>Liiketoiminnan muut kulut</t>
  </si>
  <si>
    <t>Muut rahoitustuotot</t>
  </si>
  <si>
    <t>Muut rahoituskulut</t>
  </si>
  <si>
    <t>Tuloverot</t>
  </si>
  <si>
    <t>Verovelat</t>
  </si>
  <si>
    <t>Suoraan omaan pääomaan kirjatut nettotuotot</t>
  </si>
  <si>
    <t xml:space="preserve">   Samaan konserniin kuuluvien yritysten puolesta</t>
  </si>
  <si>
    <t>Rahavirran suojaukset</t>
  </si>
  <si>
    <t>Cash flow hedges</t>
  </si>
  <si>
    <t>Bangladesh</t>
  </si>
  <si>
    <t>Saudi-Arabia</t>
  </si>
  <si>
    <t>Yhdistyneet arabiemiirikunnat</t>
  </si>
  <si>
    <t>Etelä-Afrikka</t>
  </si>
  <si>
    <t>Kenia</t>
  </si>
  <si>
    <t>Till moderbolagets aktieägare</t>
  </si>
  <si>
    <t>Vähemmistö-</t>
  </si>
  <si>
    <t>Minority</t>
  </si>
  <si>
    <t>Minoritets-</t>
  </si>
  <si>
    <t>yhteensä</t>
  </si>
  <si>
    <t>Fair value</t>
  </si>
  <si>
    <t>equity</t>
  </si>
  <si>
    <t>Fond för</t>
  </si>
  <si>
    <t>intressen</t>
  </si>
  <si>
    <t>totalt</t>
  </si>
  <si>
    <t>Osake-</t>
  </si>
  <si>
    <t>Ylikurssi</t>
  </si>
  <si>
    <t>Share</t>
  </si>
  <si>
    <t>Share issue</t>
  </si>
  <si>
    <t>Translation</t>
  </si>
  <si>
    <t>and other</t>
  </si>
  <si>
    <t>Retained</t>
  </si>
  <si>
    <t>Aktie-</t>
  </si>
  <si>
    <t>Överkurs-</t>
  </si>
  <si>
    <t>Omräknings-</t>
  </si>
  <si>
    <t>verkligt</t>
  </si>
  <si>
    <t>Balanserad</t>
  </si>
  <si>
    <t>capital</t>
  </si>
  <si>
    <t>premium</t>
  </si>
  <si>
    <t>differences</t>
  </si>
  <si>
    <t>reserves</t>
  </si>
  <si>
    <t>osakkeiden oikaistu lukumäärä tilikauden lopussa</t>
  </si>
  <si>
    <t>tilikaudelta jaettu osinko</t>
  </si>
  <si>
    <t>osinko/osake</t>
  </si>
  <si>
    <t>Efektiivinen osinkotuotto</t>
  </si>
  <si>
    <t>Hinta/voitto (P/E)</t>
  </si>
  <si>
    <t>Hinta/osakekohtainen oma pääoma (P/BV)</t>
  </si>
  <si>
    <t>oma pääoma/osake</t>
  </si>
  <si>
    <t>Korottomien saamisten lisäys (-) / vähennys (+)</t>
  </si>
  <si>
    <t>Investments in shares and acquisitions</t>
  </si>
  <si>
    <t>Rahavirta muista investoinneista</t>
  </si>
  <si>
    <t>Net income recognized directly in equity</t>
  </si>
  <si>
    <t>Direkt mot eget kapital redovisade nettointäkter</t>
  </si>
  <si>
    <t>Profit for the financial period</t>
  </si>
  <si>
    <t>Lainat muilta rahoituslaitoksilta*</t>
  </si>
  <si>
    <t>Rahavarojen muutos, lisäys (+) / vähennys (-)</t>
  </si>
  <si>
    <t>Sitten tekstin luvut olisi samat kuin viimeisessä taulokossa:</t>
  </si>
  <si>
    <t>Sivu 1 vaihtoehto:</t>
  </si>
  <si>
    <t>Wärtsilän liiketoiminta käsittää Power-liiketoiminnat, jotka ovat Ship Power-, Services- ja Power Plants-liiketoiminnot, sekä sijoitukset.</t>
  </si>
  <si>
    <t>Siirretty tuloslaskelmaan, veroilla vähennettynä</t>
  </si>
  <si>
    <t>Kurssierot</t>
  </si>
  <si>
    <t>Käytetyt varaukset</t>
  </si>
  <si>
    <t>Käyttämättömien varausten peruutukset</t>
  </si>
  <si>
    <t>Rahoitustuotot yhteensä</t>
  </si>
  <si>
    <t>Korkokulut jaksotettuun hankintamenoon kirjattavista rahoitusveloista</t>
  </si>
  <si>
    <t>Rahoituskulut yhteensä</t>
  </si>
  <si>
    <t>Change in liquid funds, increase (+) / decrease (-)</t>
  </si>
  <si>
    <t>Likvidien varojen muutos, lisäys (+) / vähennys (-)</t>
  </si>
  <si>
    <t>Net sales</t>
  </si>
  <si>
    <t>Total liabilities</t>
  </si>
  <si>
    <t>Share of profit of associates</t>
  </si>
  <si>
    <t>Depreciation and impairment</t>
  </si>
  <si>
    <t>Total shareholders' equity</t>
  </si>
  <si>
    <t>Eget kapital totalt</t>
  </si>
  <si>
    <t>Net sales 1-3/2006</t>
  </si>
  <si>
    <t>Net sales 1-3/2005</t>
  </si>
  <si>
    <t>Diluted earnings per share, EUR</t>
  </si>
  <si>
    <t>Korot ja muut rahoituserät</t>
  </si>
  <si>
    <t>Muut siirtovelat</t>
  </si>
  <si>
    <t>Pitkäaikaiset</t>
  </si>
  <si>
    <t>Lyhytaikaiset</t>
  </si>
  <si>
    <t>Currency forwards</t>
  </si>
  <si>
    <t>Räntefuturer</t>
  </si>
  <si>
    <t>Tilikauden laaja tulos yhteensä</t>
  </si>
  <si>
    <t>Laajan tuloksen jakautuminen:</t>
  </si>
  <si>
    <t>Muut väliaikaiset erot</t>
  </si>
  <si>
    <t>Johdannaisinstrumenttien nimellisarvot (taso 2)</t>
  </si>
  <si>
    <t>Korkotuotot käypään arvoon tulosvaikutteisesti kirjattavista rahoitusvaroista</t>
  </si>
  <si>
    <t>Räkenskapsperiodens resultat</t>
  </si>
  <si>
    <t>Rörelseresultat</t>
  </si>
  <si>
    <t>Tulos/osake</t>
  </si>
  <si>
    <t>Vaihto-omaisuus</t>
  </si>
  <si>
    <t>Intangible assets</t>
  </si>
  <si>
    <t>Inventories</t>
  </si>
  <si>
    <t>Other receivables</t>
  </si>
  <si>
    <t>Immateriella tillgångar</t>
  </si>
  <si>
    <t>Materiella anläggningstillgångar</t>
  </si>
  <si>
    <t>Rahavarat</t>
  </si>
  <si>
    <t>Cash and cash equivalents</t>
  </si>
  <si>
    <t>Likvida medel</t>
  </si>
  <si>
    <t>Minoritetsintressen</t>
  </si>
  <si>
    <t>Osuudet osakkuusyrityksissä</t>
  </si>
  <si>
    <t>Varor i lager</t>
  </si>
  <si>
    <t>Varat</t>
  </si>
  <si>
    <t>Assets</t>
  </si>
  <si>
    <t>Power-liiketoiminnat</t>
  </si>
  <si>
    <t>Myytävissä olevat sijoitukset</t>
  </si>
  <si>
    <t>Viisivuotiskatsaus</t>
  </si>
  <si>
    <t>josta Suomen ulkopuolella</t>
  </si>
  <si>
    <t>Vienti Suomesta</t>
  </si>
  <si>
    <t>Henkilöstö keskimäärin</t>
  </si>
  <si>
    <t>josta Suomessa</t>
  </si>
  <si>
    <t>-</t>
  </si>
  <si>
    <t>prosentteina liikevaihdosta</t>
  </si>
  <si>
    <t>Bruttoinvestoinnit</t>
  </si>
  <si>
    <t>Tutkimus- ja kehitysmenot</t>
  </si>
  <si>
    <t>Osingonjako</t>
  </si>
  <si>
    <t>Tunnuslukuja</t>
  </si>
  <si>
    <t>EUR</t>
  </si>
  <si>
    <t>Korkokate</t>
  </si>
  <si>
    <t>Proceeds from sale of shares</t>
  </si>
  <si>
    <t>Oma pääoma yhteensä</t>
  </si>
  <si>
    <t>S104000</t>
  </si>
  <si>
    <t>S101000</t>
  </si>
  <si>
    <t>Total recognized income an expense for the period</t>
  </si>
  <si>
    <t>Totalt redovisade intäkter och kostnader under perioden</t>
  </si>
  <si>
    <t>Osakepääoman korotus optioiden käytön johdosta</t>
  </si>
  <si>
    <t>Options exercised</t>
  </si>
  <si>
    <t>Konvertering av optioner</t>
  </si>
  <si>
    <t>Oma pääoma  31.12.2005</t>
  </si>
  <si>
    <t>Eget kapital 31.12.2005</t>
  </si>
  <si>
    <t>Shareholders' equity on 31 December  2005</t>
  </si>
  <si>
    <t>Liiketoiminnan rahavirta</t>
  </si>
  <si>
    <t>Cash flow from operating activities</t>
  </si>
  <si>
    <t>Rörelseverksamhetens kassaflöde</t>
  </si>
  <si>
    <t>Investointien rahavirta</t>
  </si>
  <si>
    <t>Cash flow from investing activities</t>
  </si>
  <si>
    <t>WÄRTSILÄ-KONSERNI, TILINTARKASTAMATON</t>
  </si>
  <si>
    <t>Käytetyt optio-oikeudet</t>
  </si>
  <si>
    <t>SOLVENCY1</t>
  </si>
  <si>
    <t>Currency options, written</t>
  </si>
  <si>
    <t>Valutaoptioner, utfärdade</t>
  </si>
  <si>
    <t>Kokonaismäärä</t>
  </si>
  <si>
    <t>josta suljettu</t>
  </si>
  <si>
    <t>Minority interest</t>
  </si>
  <si>
    <t>Kortfristiga skulder</t>
  </si>
  <si>
    <t>Vuonna 2005 toisen liiketoimintasegmentin muodostanut Imatra Steel siirtyi osaksi Oy Ovako Ab:ta.  Vertailukelpoisuuden</t>
  </si>
  <si>
    <t>KATSAUSKAUSI 1-3/2006 LYHYESTI</t>
  </si>
  <si>
    <t xml:space="preserve"> 1-6/2005</t>
  </si>
  <si>
    <t>Foreign exchange forward contracts</t>
  </si>
  <si>
    <t>Resultat per aktie efter utspädning, euro</t>
  </si>
  <si>
    <t>Tilausten peruutuksiin liittyvät tuotot*</t>
  </si>
  <si>
    <t>Vähennysten kertyneet poistot</t>
  </si>
  <si>
    <t>Tilikauden poisto</t>
  </si>
  <si>
    <t>Korolliset sijoitukset</t>
  </si>
  <si>
    <t>Muut saamiset</t>
  </si>
  <si>
    <t>Korolliset saamiset</t>
  </si>
  <si>
    <t>Myyntisaamiset</t>
  </si>
  <si>
    <t>Verosaamiset</t>
  </si>
  <si>
    <t>Ylikurssirahasto</t>
  </si>
  <si>
    <t>Liikevaihto</t>
  </si>
  <si>
    <t>Kulut</t>
  </si>
  <si>
    <t>Rahoitustuotot ja -kulut</t>
  </si>
  <si>
    <t>Vähemmistöosuus</t>
  </si>
  <si>
    <t>Tilikauden tulos</t>
  </si>
  <si>
    <t>Osakepääoma</t>
  </si>
  <si>
    <t>Muu oma pääoma</t>
  </si>
  <si>
    <t>Yhteensä</t>
  </si>
  <si>
    <t>Imatra Steel</t>
  </si>
  <si>
    <t>Tulos ennen veroja</t>
  </si>
  <si>
    <t>Poistot ja arvonalentumiset</t>
  </si>
  <si>
    <t>Avskrivningar och nedskrivningar</t>
  </si>
  <si>
    <t>Betalda dividender</t>
  </si>
  <si>
    <t>CF3100</t>
  </si>
  <si>
    <t>CF3900</t>
  </si>
  <si>
    <t>CF4200</t>
  </si>
  <si>
    <t>CF4250</t>
  </si>
  <si>
    <t>CF4600</t>
  </si>
  <si>
    <t>CF6500</t>
  </si>
  <si>
    <t>CF7000</t>
  </si>
  <si>
    <t>CF8200</t>
  </si>
  <si>
    <t>CF8300</t>
  </si>
  <si>
    <t>CF11400</t>
  </si>
  <si>
    <t>CF9700</t>
  </si>
  <si>
    <t>CF10200</t>
  </si>
  <si>
    <t>CF10750</t>
  </si>
  <si>
    <t>CF8500</t>
  </si>
  <si>
    <t>CF11800</t>
  </si>
  <si>
    <t>WÄRTSILÄKONCERNEN, OREVIDERADE</t>
  </si>
  <si>
    <t>WÄRTSILÄ GROUP, UNAUDITED</t>
  </si>
  <si>
    <t>Aineeton käyttöomaisuus</t>
  </si>
  <si>
    <t>Ostovelat</t>
  </si>
  <si>
    <t>BRL</t>
  </si>
  <si>
    <t>Wärtsilä Caribbean, Inc.</t>
  </si>
  <si>
    <t>Liite</t>
  </si>
  <si>
    <t>Aineet ja tarvikkeet</t>
  </si>
  <si>
    <t>Keskeneräiset tuotteet</t>
  </si>
  <si>
    <t>Wärtsilä Canada Inc.</t>
  </si>
  <si>
    <t>Liiketoimet osakkuus- ja yhteisyritysten kanssa</t>
  </si>
  <si>
    <t>Acquired shares</t>
  </si>
  <si>
    <t>Osakkeiden hankinnat</t>
  </si>
  <si>
    <t>Muut</t>
  </si>
  <si>
    <t>Liikevaihto 1-3/2006</t>
  </si>
  <si>
    <t>Omsättning 1-3/2006</t>
  </si>
  <si>
    <t>Liikevaihto 1-3/2005</t>
  </si>
  <si>
    <t>Omsättning 1-3/2005</t>
  </si>
  <si>
    <t xml:space="preserve"> 4-6/2005</t>
  </si>
  <si>
    <t xml:space="preserve"> 7-9/2005</t>
  </si>
  <si>
    <t xml:space="preserve"> 10-12/2005</t>
  </si>
  <si>
    <t>Övriga intäkter</t>
  </si>
  <si>
    <t>Other income</t>
  </si>
  <si>
    <t>Muut tuotot</t>
  </si>
  <si>
    <t>Profit before taxes</t>
  </si>
  <si>
    <t>Taxes for the period</t>
  </si>
  <si>
    <t>Tilikauden verot</t>
  </si>
  <si>
    <t>Periodens skatter</t>
  </si>
  <si>
    <t>Other changes</t>
  </si>
  <si>
    <t>Total</t>
  </si>
  <si>
    <t>Milj. euroa</t>
  </si>
  <si>
    <t>Expenses</t>
  </si>
  <si>
    <t>Förändring av likvida medel, ökning (+) / minskning (-)</t>
  </si>
  <si>
    <t>1. Segmentti-informaatio</t>
  </si>
  <si>
    <t>Interest-bearing debt</t>
  </si>
  <si>
    <t>Räntebärande lån</t>
  </si>
  <si>
    <t>CNY</t>
  </si>
  <si>
    <t>Pitkäaikaisten lainojen nostot</t>
  </si>
  <si>
    <t>New long-term loans</t>
  </si>
  <si>
    <t>Upptagna långfristiga lån</t>
  </si>
  <si>
    <t>Pitkäaikaisten lainojen takaisinmaksut ja muut muutokset</t>
  </si>
  <si>
    <t>Amortering av långfristiga lån</t>
  </si>
  <si>
    <t xml:space="preserve">Maksetut osingot </t>
  </si>
  <si>
    <t xml:space="preserve">Lyhytaikaisten lainojen muutos ja muut muutokset </t>
  </si>
  <si>
    <t>Changes in short term loans and other financing activities</t>
  </si>
  <si>
    <t xml:space="preserve">Yhteensä </t>
  </si>
  <si>
    <t>Wärtsilä Qiyao Diesel Company Ltd.</t>
  </si>
  <si>
    <t>Palkat ja palkkiot</t>
  </si>
  <si>
    <t>Eläkekulut</t>
  </si>
  <si>
    <t>Muut henkilösivukulut</t>
  </si>
  <si>
    <t xml:space="preserve">   gain / loss from fair valuation, net of taxes</t>
  </si>
  <si>
    <t>CONTINGENT LIABILITIES</t>
  </si>
  <si>
    <t>ANSVARSFÖRBINDELSER</t>
  </si>
  <si>
    <t>check</t>
  </si>
  <si>
    <t>Arvon-</t>
  </si>
  <si>
    <t>muutos-</t>
  </si>
  <si>
    <t>* Arvioidut korkokustannukset yhteensä</t>
  </si>
  <si>
    <t>Muut muutokset</t>
  </si>
  <si>
    <t>Övriga förändringar</t>
  </si>
  <si>
    <t>pääoma</t>
  </si>
  <si>
    <t>rahasto</t>
  </si>
  <si>
    <t>Muunto-</t>
  </si>
  <si>
    <t>erot</t>
  </si>
  <si>
    <t>Arvonalentumiset</t>
  </si>
  <si>
    <t>Palkat ja muut lyhytaikaiset työsuhde-etuudet</t>
  </si>
  <si>
    <t>Muut konsernin johtokunnan jäsenet</t>
  </si>
  <si>
    <t>Eget kapital 30.06.2006</t>
  </si>
  <si>
    <t>Liiketoimintasegmentit 1-6/2005</t>
  </si>
  <si>
    <t>Business segments 1-6/2005</t>
  </si>
  <si>
    <t>Wärtsilä Guatemala S.A.</t>
  </si>
  <si>
    <t>Vahvistetut luottolimiittisopimukset</t>
  </si>
  <si>
    <t>Erääntyvät</t>
  </si>
  <si>
    <t>Vuosi</t>
  </si>
  <si>
    <t>Luottoriski</t>
  </si>
  <si>
    <t>Wärtsilä Argentina S.A.</t>
  </si>
  <si>
    <t xml:space="preserve">Erääntymättömät saamiset </t>
  </si>
  <si>
    <t xml:space="preserve">1–30 päivää erääntyneet </t>
  </si>
  <si>
    <t>Osinko/osake</t>
  </si>
  <si>
    <t>Osinko/tulos</t>
  </si>
  <si>
    <t>Omavaraisuusaste</t>
  </si>
  <si>
    <t>Oma pääoma/osake</t>
  </si>
  <si>
    <t>Övriga skulder</t>
  </si>
  <si>
    <t>Other liabilities</t>
  </si>
  <si>
    <t>Aktiva</t>
  </si>
  <si>
    <t>Passiva</t>
  </si>
  <si>
    <t>Vastattavaa</t>
  </si>
  <si>
    <t>LYHENNETTY RAHAVIRTALASKELMA</t>
  </si>
  <si>
    <t>Liikearvon arvonalentumistestaus</t>
  </si>
  <si>
    <t>Defined benefit plans</t>
  </si>
  <si>
    <t>Etuuspohjaiset eläkejärjestelyt</t>
  </si>
  <si>
    <t xml:space="preserve">Henkilöstö keskimäärin </t>
  </si>
  <si>
    <t>Korottomat velat</t>
  </si>
  <si>
    <t>Velat yhteensä</t>
  </si>
  <si>
    <t>Suomi</t>
  </si>
  <si>
    <t>Finland</t>
  </si>
  <si>
    <t>Portugali</t>
  </si>
  <si>
    <t>Net income from assets available for sale</t>
  </si>
  <si>
    <t xml:space="preserve">   För övriga</t>
  </si>
  <si>
    <t xml:space="preserve">   On behalf of others</t>
  </si>
  <si>
    <t>MEUR</t>
  </si>
  <si>
    <t>Cash flow from other investing activities</t>
  </si>
  <si>
    <t>Cash and cash equivalents at beginning of period</t>
  </si>
  <si>
    <t>Exchange rate changes</t>
  </si>
  <si>
    <t>interest</t>
  </si>
  <si>
    <t>Shareholders' equity on 31 December 2004</t>
  </si>
  <si>
    <t>Oma pääoma 31.12.2004</t>
  </si>
  <si>
    <t xml:space="preserve">   gain/loss from fair valuation, net of taxes</t>
  </si>
  <si>
    <t xml:space="preserve">   transferred to income statement, net of taxes</t>
  </si>
  <si>
    <t>Resultat per aktie hänförligt till moderbolagets aktieägare:</t>
  </si>
  <si>
    <t>Muut  varat</t>
  </si>
  <si>
    <t>Muut varat</t>
  </si>
  <si>
    <t>Övriga tillgångar</t>
  </si>
  <si>
    <t>Non-current liabilities</t>
  </si>
  <si>
    <t>Takuu-
varaukset</t>
  </si>
  <si>
    <t>Oikeuden-
käynnit</t>
  </si>
  <si>
    <t>Tappio-
varaukset</t>
  </si>
  <si>
    <t>Uudelleen-
järjestely-
varaukset</t>
  </si>
  <si>
    <t>Luovutustulot osakkeista</t>
  </si>
  <si>
    <t>Maksetut ennakot</t>
  </si>
  <si>
    <t>Muut aineettomat hyödykkeet</t>
  </si>
  <si>
    <t>Rakennukset ja rakennelmat</t>
  </si>
  <si>
    <t>Koneet ja kalusto</t>
  </si>
  <si>
    <t>Muut aineelliset hyödykkeet</t>
  </si>
  <si>
    <t>Realisationsvinster och -förluster på anläggninhstillgångar och övriga korrektivposter</t>
  </si>
  <si>
    <t xml:space="preserve"> </t>
  </si>
  <si>
    <t>Osuus osakkuusyhtiöiden tuloksesta</t>
  </si>
  <si>
    <t>LYHENNETTY TULOSLASKELMA</t>
  </si>
  <si>
    <t>CONDENSED INCOME STATEMENT</t>
  </si>
  <si>
    <t>RESULTATRÄKNING I SAMMANDRAG</t>
  </si>
  <si>
    <t>LYHENNETTY TASE</t>
  </si>
  <si>
    <t>CONDENSED BALANCE SHEET</t>
  </si>
  <si>
    <t>BALANSRÄKNING I SAMMANDRAG</t>
  </si>
  <si>
    <t>Laskennalliset verosaamiset</t>
  </si>
  <si>
    <t>Deferred tax receivables</t>
  </si>
  <si>
    <t>Uppskjuten skattefordran</t>
  </si>
  <si>
    <t>Emoyhtiön omistajille kuuluva oma pääoma</t>
  </si>
  <si>
    <t>Eget kapital som tillhör moderbolagets aktieägare</t>
  </si>
  <si>
    <t>Laskennalliset verovelat</t>
  </si>
  <si>
    <t>Deferred tax liabilities</t>
  </si>
  <si>
    <t>Uppskjuten skatteskuld</t>
  </si>
  <si>
    <t>Korolliset velat</t>
  </si>
  <si>
    <t>Wärtsilä Finland Oy</t>
  </si>
  <si>
    <t>Wärtsilä Italia S.p.A.</t>
  </si>
  <si>
    <t>Wärtsilä France S.A.S.</t>
  </si>
  <si>
    <t>Wärtsilä Danmark A/S</t>
  </si>
  <si>
    <t>Wärtsilä Sweden AB</t>
  </si>
  <si>
    <t>Wärtsilä Ibérica S.A.</t>
  </si>
  <si>
    <t>Wärtsilä Portugal Lda.</t>
  </si>
  <si>
    <t>Wärtsilä Deutschland GmbH</t>
  </si>
  <si>
    <t>Wärtsilä BLRT Estonia Oü</t>
  </si>
  <si>
    <t>Wärtsilä Polska Sp.z.o.o.</t>
  </si>
  <si>
    <t>Wärtsilä Greece S.A.</t>
  </si>
  <si>
    <t>Wärtsilä-Enpa A.S.</t>
  </si>
  <si>
    <t>oma pääoma ja velat – saadut ennakkomaksut</t>
  </si>
  <si>
    <t>korolliset velat – rahavarat</t>
  </si>
  <si>
    <t>Alankomaat</t>
  </si>
  <si>
    <t>Espanja</t>
  </si>
  <si>
    <t>Sveitsi</t>
  </si>
  <si>
    <t>Japani</t>
  </si>
  <si>
    <t>Venäjä</t>
  </si>
  <si>
    <t>Yhtiön nimi</t>
  </si>
  <si>
    <t>Kotimaa</t>
  </si>
  <si>
    <t>S148000</t>
  </si>
  <si>
    <t>S182200</t>
  </si>
  <si>
    <t>S124000</t>
  </si>
  <si>
    <t>S126001</t>
  </si>
  <si>
    <t>S130000</t>
  </si>
  <si>
    <t>S180000</t>
  </si>
  <si>
    <t>S170000</t>
  </si>
  <si>
    <t>S151001</t>
  </si>
  <si>
    <t>S150002</t>
  </si>
  <si>
    <t>CHECK</t>
  </si>
  <si>
    <t>S200000</t>
  </si>
  <si>
    <t>S231001</t>
  </si>
  <si>
    <t>S239300</t>
  </si>
  <si>
    <t>S241000</t>
  </si>
  <si>
    <t>S259300</t>
  </si>
  <si>
    <t>S800008</t>
  </si>
  <si>
    <t xml:space="preserve">Note! </t>
  </si>
  <si>
    <t>not included!</t>
  </si>
  <si>
    <t>S350000</t>
  </si>
  <si>
    <t>S710000</t>
  </si>
  <si>
    <t>ACT2005</t>
  </si>
  <si>
    <t>blue equals manual inputs</t>
  </si>
  <si>
    <t>Rahoituserät ja tuloverot</t>
  </si>
  <si>
    <t>Net financial items and income taxes</t>
  </si>
  <si>
    <t>CF3400</t>
  </si>
  <si>
    <t>Määräysvallattomien omistajien osuus</t>
  </si>
  <si>
    <t>Total equity attributable to equity holders of the parent</t>
  </si>
  <si>
    <t>Valmistus omaan käyttöön</t>
  </si>
  <si>
    <t>Liiketoiminnan muut tuotot</t>
  </si>
  <si>
    <t>Materiaalit ja palvelut</t>
  </si>
  <si>
    <t>Työsuhde-etuuksista aiheutuvat kulut</t>
  </si>
  <si>
    <t>Wärtsilä Chile Ltda.</t>
  </si>
  <si>
    <t>Wärtsilä Colombia S.A.</t>
  </si>
  <si>
    <t>Wärtsilä Ecuador S.A.</t>
  </si>
  <si>
    <t>Valuuttatermiinit</t>
  </si>
  <si>
    <t>Valutaterminer</t>
  </si>
  <si>
    <t>Valuuttaoptiot, osteutut</t>
  </si>
  <si>
    <t>Lainat eläkelaitoksilta*</t>
  </si>
  <si>
    <t>Lisäykset</t>
  </si>
  <si>
    <t>Vähennykset</t>
  </si>
  <si>
    <t>Käyvän arvon muutokset</t>
  </si>
  <si>
    <t>Konsernin tuloslaskelmaan kirjatut verot</t>
  </si>
  <si>
    <t>Liiketulos</t>
  </si>
  <si>
    <t>Currency options, purchased</t>
  </si>
  <si>
    <t>Valutaoptioner, köpta</t>
  </si>
  <si>
    <t>Valuuttaoptiot, asetetut</t>
  </si>
  <si>
    <t>siirretty tuloslaskelmaan, veroilla vähennettynä</t>
  </si>
  <si>
    <t>Osuus osakkuus- ja yhteisyritysten tuloksista</t>
  </si>
  <si>
    <t>Lainasaamisten lisäys (-) / vähennys (+) ja muut muutokset</t>
  </si>
  <si>
    <t>Rahavirta investointien jälkeen</t>
  </si>
  <si>
    <t>Lainasaamisten lisäys (-) / vähennys (+)</t>
  </si>
  <si>
    <t>vuoksi alla on esitetty vuoden 2005 liikevaihto, liiketulos ja tulos ennen veroja ilman Imatra Steeliä.</t>
  </si>
  <si>
    <t>Korolliset nettovelat kauden lopussa</t>
  </si>
  <si>
    <t>Bruttoinvesoinnit</t>
  </si>
  <si>
    <t>Earnings per share attributable to equity holders of the parent company:</t>
  </si>
  <si>
    <t>Emoyhtiön osakkeenomistajille kuuluva osakekohtainen tulos:</t>
  </si>
  <si>
    <t>Maarit Aarni-Sirviö, hallituksen jäsen</t>
  </si>
  <si>
    <t>Wärtsilä Netherlands  B.V.</t>
  </si>
  <si>
    <t>Konsernin rahavirtalaskelma</t>
  </si>
  <si>
    <t>Oikaisut:</t>
  </si>
  <si>
    <t>Liiketoiminnan rahavirta ennen käyttöpääoman muutosta</t>
  </si>
  <si>
    <t>Käyttöpääoman muutos:</t>
  </si>
  <si>
    <t>Wärtsilä China Ltd.</t>
  </si>
  <si>
    <t>Ranska</t>
  </si>
  <si>
    <t>osakkeiden oikaistu lukumäärä keskimäärin tilikauden aikana</t>
  </si>
  <si>
    <t>emoyhtiön osakkeenomistajille kuuluva oma pääoma</t>
  </si>
  <si>
    <t>Käyttämättömät tilikauden tappiot</t>
  </si>
  <si>
    <t>Muut jaksotuserot</t>
  </si>
  <si>
    <t>Tuloverot edellisiltä tilikausilta</t>
  </si>
  <si>
    <t>40.0</t>
  </si>
  <si>
    <t>50.0</t>
  </si>
  <si>
    <t>Korkoriski</t>
  </si>
  <si>
    <t>Pääomarakenteen hallinta</t>
  </si>
  <si>
    <t>Taseen loppusumma</t>
  </si>
  <si>
    <t>Seuraavat palkkiot maksettiin tilintarkastajille ja tilintarkastustoimistoille lakisääteisestä tarkastuksesta sekä neuvonantamisesta ja ohjauksesta että riippumattomista asiantuntijapalveluista.</t>
  </si>
  <si>
    <t>Equity holders of the parent company</t>
  </si>
  <si>
    <t>USD</t>
  </si>
  <si>
    <t>NOK</t>
  </si>
  <si>
    <t>CHF</t>
  </si>
  <si>
    <t>SGD</t>
  </si>
  <si>
    <t>Kiinnitykset</t>
  </si>
  <si>
    <t>Velat ja vastuut, joiden vakuudeksi on annettu kiinteistökiinnityksiä</t>
  </si>
  <si>
    <t>Kaudelle kirjatut tuotot ja kulut yhteensä</t>
  </si>
  <si>
    <t>Wärtsilä North America, Inc.</t>
  </si>
  <si>
    <t>Wärtsilä Defence Inc.</t>
  </si>
  <si>
    <t>Wärtsilä de Mexico SA</t>
  </si>
  <si>
    <t xml:space="preserve">Takaukset ja vastuusitoumukset </t>
  </si>
  <si>
    <t>samaan konserniin kuuluvien yritysten puolesta</t>
  </si>
  <si>
    <t>Rahavarat tilikauden alussa</t>
  </si>
  <si>
    <t>Valuuttakurssien muutosten vaikutus</t>
  </si>
  <si>
    <t>Rahavarat tilikauden lopussa</t>
  </si>
  <si>
    <t>%</t>
  </si>
  <si>
    <t>Selling profit and loss of fixed assets and other adjustments</t>
  </si>
  <si>
    <t>Käyttöpääoman muutos</t>
  </si>
  <si>
    <t>Changes in working capital</t>
  </si>
  <si>
    <t>Förändring av rörelsekapital</t>
  </si>
  <si>
    <t>Liiketoiminnan rahavirta ennen rahoituseriä ja veroja</t>
  </si>
  <si>
    <t>Cash flow from operating activities before financial items and taxes</t>
  </si>
  <si>
    <t>Rörelseverksamhetens kassaflöde före finansiella poster och skatter</t>
  </si>
  <si>
    <t>Investointien rahavirta:</t>
  </si>
  <si>
    <t>Cash flow from investing activities:</t>
  </si>
  <si>
    <t>Investeringarnas kassaflöde:</t>
  </si>
  <si>
    <t>Maksetut verot</t>
  </si>
  <si>
    <t>Romun myyntituotot</t>
  </si>
  <si>
    <t>Maksupohjaiset eläkejärjestelyt</t>
  </si>
  <si>
    <t>käyvän arvon nettomuutos verojen jälkeen</t>
  </si>
  <si>
    <t>Tilintarkastus</t>
  </si>
  <si>
    <t>Mikael Lilius, hallituksen puheenjohtaja</t>
  </si>
  <si>
    <t>Markus Rauramo, hallituksen jäsen</t>
  </si>
  <si>
    <t>SEK</t>
  </si>
  <si>
    <t>arvonmuutokset</t>
  </si>
  <si>
    <t>siirretty tuloslaskelmaan</t>
  </si>
  <si>
    <t>Laskennallinen nettoverosaaminen/
-velka</t>
  </si>
  <si>
    <t>Taloudellinen yhteenveto (100%):</t>
  </si>
  <si>
    <t>Wärtsilä Dominicana Inc.</t>
  </si>
  <si>
    <t>Wärtsilä-konsernin korkoriski muodostuu pääasiallisesti nettomääräisen lainasalkun arvon muutoksista (hintariski) sekä korkojen vaihtelusta (vaihtuvakorkoisten lainojen koronmuutokset). Wärtsilä suojaa korkoriskinsä johdannaisilla kuten koronvaihtosopimuksilla, futuureilla sekä optioilla. Näiden johdannaisten markkina-arvojen muutokset kirjataan suoraan tuloslaskelmaan. Korkoriskejä seurataan mittaamalla jatkuvasti rahoitusinstrumenttien markkina-arvoja sekä tekemällä herkkyysanalyysia.</t>
  </si>
  <si>
    <t>oma pääoma ja velat – korottomat velat – varaukset, keskimäärin tilikauden aikana</t>
  </si>
  <si>
    <t>* Tilausten peruutuksiin liittyvät kulut ovat vastaavilla kulutileillä.</t>
  </si>
  <si>
    <t>Korkotuotot lainoista ja saamisista</t>
  </si>
  <si>
    <t>Yhteisyritykset</t>
  </si>
  <si>
    <t>Osakkuusyritykset</t>
  </si>
  <si>
    <t>Oma 
pääoma</t>
  </si>
  <si>
    <t>Hankintameno</t>
  </si>
  <si>
    <t>Osakepääoma ja osakkeiden lukumäärä</t>
  </si>
  <si>
    <t>Rahavirran 
suojaukset</t>
  </si>
  <si>
    <t>Muut korolliset lainat*</t>
  </si>
  <si>
    <t>Muut 
varaukset</t>
  </si>
  <si>
    <t>Tase-erien 
kirjanpito-
arvot</t>
  </si>
  <si>
    <t>Muut 
aineelli-
set hyö-
dykkeet</t>
  </si>
  <si>
    <t>Sijoitukset osakkuus- ja yhteisyrityksiin</t>
  </si>
  <si>
    <t>Muut verot*</t>
  </si>
  <si>
    <t>Brasilian real</t>
  </si>
  <si>
    <t>Sveitsin frangi</t>
  </si>
  <si>
    <t>Englannin punta</t>
  </si>
  <si>
    <t>Intian rupia</t>
  </si>
  <si>
    <t>Norjan kruunu</t>
  </si>
  <si>
    <t>Ruotsin kruunu</t>
  </si>
  <si>
    <t>Yhdysvaltain dollari</t>
  </si>
  <si>
    <t>Japanin jeni</t>
  </si>
  <si>
    <t>Singaporen dollari</t>
  </si>
  <si>
    <t>Kiinan juan renminbi</t>
  </si>
  <si>
    <t>Total comprehensive income for the financial period</t>
  </si>
  <si>
    <t>Vakuutuskorvaukset</t>
  </si>
  <si>
    <t>Gunilla Nordström, hallituksen jäsen</t>
  </si>
  <si>
    <t>Wärtsilä Valves Ltd</t>
  </si>
  <si>
    <t>Wärtsilä Moss AS</t>
  </si>
  <si>
    <t>Wärtsilä Oil &amp; Gas Systems AS</t>
  </si>
  <si>
    <t>SAR</t>
  </si>
  <si>
    <t>Arvioidut sopimusperusteiset rahavirrat</t>
  </si>
  <si>
    <t>Wärtsilä Projects Oy</t>
  </si>
  <si>
    <t>Wärtsilä Solutions Oy</t>
  </si>
  <si>
    <t>Efektiivinen verokanta (%)</t>
  </si>
  <si>
    <t>Vähennysten kertyneet poistot ja muut muutokset</t>
  </si>
  <si>
    <t>Rahoitusleasingvelat*</t>
  </si>
  <si>
    <t>Osakkeiden myynti</t>
  </si>
  <si>
    <t>Disposal of shares</t>
  </si>
  <si>
    <t>Nettokäyttöpääoma (WCAP)</t>
  </si>
  <si>
    <t>Myynti-
saamiset</t>
  </si>
  <si>
    <t>joista
alaskirjattu</t>
  </si>
  <si>
    <t>Käytettävissä 
(kauden 
lopussa)</t>
  </si>
  <si>
    <t>2. Yrityshankinnat</t>
  </si>
  <si>
    <t>Osakkeiden 
ja äänien
lukumäärä</t>
  </si>
  <si>
    <t>Tietoja konsernin tuloslaskelmasta</t>
  </si>
  <si>
    <t>Tietoja konsernin taseesta</t>
  </si>
  <si>
    <t>tulos ennen veroja + poistot ja arvonalentumiset + korko- ja muut rahoituskulut</t>
  </si>
  <si>
    <t>Myynnit osakkuus- ja yhteisyrityksille</t>
  </si>
  <si>
    <t>Ostot osakkuus- ja yhteisyrityksiltä</t>
  </si>
  <si>
    <t>Saamiset osakkuus- ja yhteisyrityksiltä</t>
  </si>
  <si>
    <t>Osakkuus- ja yhteisyrityksille maksetut ennakot</t>
  </si>
  <si>
    <t>Velat osakkuus- ja yhteisyrityksille</t>
  </si>
  <si>
    <t>joista
suljettu</t>
  </si>
  <si>
    <t>Liike-
vaihto</t>
  </si>
  <si>
    <t>Tili-
kauden 
tulos</t>
  </si>
  <si>
    <t>Wärtsilä Norway AS</t>
  </si>
  <si>
    <t xml:space="preserve">Wärtsilä Ship Design Norway AS </t>
  </si>
  <si>
    <t>Wärtsilä Baltic Design Centre Sp.z.o.o.</t>
  </si>
  <si>
    <t>Wärtsilä-CME Zhenjiang Propeller Co. Ltd.</t>
  </si>
  <si>
    <t>Wärtsilä Suzhou Ltd.</t>
  </si>
  <si>
    <t>Wärtsilä Singapore Pte Ltd</t>
  </si>
  <si>
    <t>Wärtsilä Japan Ltd.</t>
  </si>
  <si>
    <t>Wärtsilä Water Systems Ltd</t>
  </si>
  <si>
    <t>Total transactions with the owners of the company</t>
  </si>
  <si>
    <t>Liiketoimet omistajien kanssa</t>
  </si>
  <si>
    <t>syntyneet ja purkautuneet väliaikaiset erot</t>
  </si>
  <si>
    <t>Vaihto-omaisuuden sisäisen katteen eliminointi</t>
  </si>
  <si>
    <t>Johdon palkitseminen</t>
  </si>
  <si>
    <t>Johdon palkitseminen yhteensä</t>
  </si>
  <si>
    <t>Toimitusjohtaja</t>
  </si>
  <si>
    <t>Toimitusjohtajan sijainen</t>
  </si>
  <si>
    <t>Emoyhtiön voitonjakokelpoiset varat</t>
  </si>
  <si>
    <t>Verokannan muutoksen vaikutus</t>
  </si>
  <si>
    <t>DKK</t>
  </si>
  <si>
    <t>AED</t>
  </si>
  <si>
    <t>Tanskan kruunu</t>
  </si>
  <si>
    <t>Saudi-Arabian rial</t>
  </si>
  <si>
    <t>Yhdistyneiden Arabiemiirikuntien dirhami</t>
  </si>
  <si>
    <t>Nettokorot etuuspohjaisista eläkejärjestelyistä</t>
  </si>
  <si>
    <t>Lakisääteisistä eläkkeistä aiheutuneet kustannukset</t>
  </si>
  <si>
    <t>Vapaaehtoisista eläkkeistä aiheutuneet kustannukset</t>
  </si>
  <si>
    <t>Wärtsilä LLC</t>
  </si>
  <si>
    <t>Wärtsilä Ship Design (Shanghai) Co., Ltd</t>
  </si>
  <si>
    <t>Wärtsilä Cyprus Limited</t>
  </si>
  <si>
    <t>Wärtsilä West Africa Guinea</t>
  </si>
  <si>
    <t>Wärtsilä Operations Guyana Inc.</t>
  </si>
  <si>
    <t>Wärtsilä (Malaysia) Sdn Bhd</t>
  </si>
  <si>
    <t>Wärtsilä Marine &amp; Power Services Nigeria Limited</t>
  </si>
  <si>
    <t>Wärtsilä Panama Services S.A.</t>
  </si>
  <si>
    <t>Wärtsilä Doha WLL</t>
  </si>
  <si>
    <t>Wärtsilä Uruguay S.A.</t>
  </si>
  <si>
    <t>Wärtsilä Services (Shanghai) Co. Ltd.</t>
  </si>
  <si>
    <t>Uruguay</t>
  </si>
  <si>
    <t>Guyana</t>
  </si>
  <si>
    <t>Malesia</t>
  </si>
  <si>
    <t>Qatar</t>
  </si>
  <si>
    <t>Nigeria</t>
  </si>
  <si>
    <t>Kypros</t>
  </si>
  <si>
    <t>Guinea</t>
  </si>
  <si>
    <t>Mosambik</t>
  </si>
  <si>
    <t>Erät, joita ei siirretä tulosvaikutteisiksi</t>
  </si>
  <si>
    <t>Erät, joita ei siirretä tulosvaikutteisiksi, yhteensä</t>
  </si>
  <si>
    <t>Erät, jotka saatetaan myöhemmin siirtää tulosvaikutteisiksi</t>
  </si>
  <si>
    <t>Erät, jotka saatetaan myöhemmin siirtää tulosvaikutteisiksi, yhteensä</t>
  </si>
  <si>
    <t>Oikaistu</t>
  </si>
  <si>
    <t>Tilikauden muut laajan tuloksen erät verojen jälkeen</t>
  </si>
  <si>
    <t>Wärtsilä Hamworthy Middle East (FZE)</t>
  </si>
  <si>
    <t>Rahastoimattomien velvoitteiden nykyarvo</t>
  </si>
  <si>
    <t>Rahastoitujen velvoitteiden nykyarvo</t>
  </si>
  <si>
    <t>Varojen käypä arvo</t>
  </si>
  <si>
    <t>Nettovelka taseessa</t>
  </si>
  <si>
    <t>Kauden työsuoritukseen perustuva meno</t>
  </si>
  <si>
    <t>Aiempaan työsuoritukseen perustuva meno</t>
  </si>
  <si>
    <t>Järjestelyyn osallisten maksusuoritukset</t>
  </si>
  <si>
    <t>Työnantajan maksusuoritukset</t>
  </si>
  <si>
    <t>Maksetut etuudet</t>
  </si>
  <si>
    <t>Muu Eurooppa</t>
  </si>
  <si>
    <t>Muutokset oletuksissa</t>
  </si>
  <si>
    <t>Järjestelyyn kuuluvien varojen jakautuminen omaisuusryhmittäin:</t>
  </si>
  <si>
    <t>Diskonttauskorko</t>
  </si>
  <si>
    <t>Tulospalkkiot</t>
  </si>
  <si>
    <t>kasvu 1%</t>
  </si>
  <si>
    <t>lasku 1%</t>
  </si>
  <si>
    <t>Netto-
velat</t>
  </si>
  <si>
    <t>Kirjattu tuloslaskelmaan:</t>
  </si>
  <si>
    <t>Muutos</t>
  </si>
  <si>
    <t>Korolliset nettovelat</t>
  </si>
  <si>
    <t>Johdannaisinstrumenttien markkina-arvostukset ISDA-sopimusten alla</t>
  </si>
  <si>
    <t>Pitkäaikaiset velat yhteensä</t>
  </si>
  <si>
    <t>Lyhytaikaiset velat yhteensä</t>
  </si>
  <si>
    <t>Yrityshankinnat</t>
  </si>
  <si>
    <t>tilikaudelta</t>
  </si>
  <si>
    <t>edellisiltä tilikausilta</t>
  </si>
  <si>
    <t xml:space="preserve">Kaupalliseen toimintaan liittyvien luottoriskien hallinta on osa liiketoiminta-alueiden ja konserniyhtiöiden toimintaa. Suuriin kauppoihin ja projektirahoitukseen liittyvät luottoriskit pyritään rajoittamaan siirtämällä riskejä pankeille, vakuutusyhtiöille ja vientitakuulaitoksille. </t>
  </si>
  <si>
    <t xml:space="preserve">Johdon näkemyksen mukaan perusoletusten muutoksia ei tule tulkita osoituksena niiden toteutumisen todennäköisyydestä. Herkkyysanalyysit ovat hypoteettisia ja siksi niihin tulee suhtautua varauksella. </t>
  </si>
  <si>
    <t>Etuus-
pohjaisen
velvoitteen
nykyarvo</t>
  </si>
  <si>
    <t>Järjestelyyn
kuuluvien
varojen
käypä arvo</t>
  </si>
  <si>
    <t>Etuus-
pohjainen
nettovelka
yhteensä</t>
  </si>
  <si>
    <t>Korkokulu (+) / korkotuotto (-)</t>
  </si>
  <si>
    <t>Taloudellisten oletusten muutokset</t>
  </si>
  <si>
    <t>Väestötilastollisten oletusten muutokset</t>
  </si>
  <si>
    <t>Kokemusperusteiset oikaisut</t>
  </si>
  <si>
    <t>Tulevaisuuden kuolleisuusolettama perustuu aktuaarien laskelmiin, jotka pohjautuvat kussakin maassa julkaistuihin tilastoihin ja kokemuksiin. Näiden perusteella arvioitu painotettu keskimääräinen jäljellä oleva elinikä eläkeiän saavuttamisen jälkeen on seuraava:</t>
  </si>
  <si>
    <t>Jokaiselle merkittävälle vakuutusmatemaattiselle oletukselle tehdyt herkkyysanalyysit on esitetty alla olevassa taulukossa. Taulukosta käy ilmi miten muutokset vakuutusmatemaattisissa oletuksissa, jotka olisivat olleet kohtuullisissa määrin mahdollisia tilikauden lopussa, olisivat vaikuttaneet etuuspohjaisten eläkejärjestelyjen velvoitteisiin. Tehty herkkyysanalyysi soveltuu vain etuuspohjaisten eläkejärjestelyjen velvoitteisiin eikä etuuspohjaisiin eläkevelkoihin kokonaisuudessaan.</t>
  </si>
  <si>
    <t>Palkkojen nousu</t>
  </si>
  <si>
    <t>Eläkkeiden nousu</t>
  </si>
  <si>
    <t>Normaalisti kaikki konsernin johdannaiset tehdään International Swaps and Derivatives Associationin Master Agreement -sopimusten (ISDA) alla. Mikäli sopimusosapuoli on sopimuksessa määritellyn luottotapahtuman kohteena, on toisella sopimusosapuolella oikeus vaatia kaikkien avoimien johdannaisten ennenaikaista eräännyttämistä ja niiden netottamista. Nämä sopimukset eivät kuitenkaan täytä tase-erien netotusvaatimuksia. Alla olevassa taulukossa on kyseisten sopimusten alla tehtyjen rahoitusinstrumenttien kirjanpitoarvot.</t>
  </si>
  <si>
    <t xml:space="preserve">* Övriga valutor innehåller inga betydliga enskilda valutor. </t>
  </si>
  <si>
    <t>* Other does not include any material single currencies.</t>
  </si>
  <si>
    <t>Muut valuutat*</t>
  </si>
  <si>
    <t>Osana pääomarakenteen hallintaa seurataan myös omavaraisuusastetta:</t>
  </si>
  <si>
    <t>Aineellisiin hyödykkeisiin sisältyy rahoitusleasing-
sopimuksilla hankittua omaisuutta</t>
  </si>
  <si>
    <t>Pitkäaikaiset varat yhteensä</t>
  </si>
  <si>
    <t>Lyhytaikaiset varat yhteensä</t>
  </si>
  <si>
    <t>Myytävänä oleviin omaisuuseriin liittyvät velat</t>
  </si>
  <si>
    <t>Myytävänä olevat omaisuuserät</t>
  </si>
  <si>
    <t>Tulos/osake (EPS), laimentamaton ja laimennettu</t>
  </si>
  <si>
    <t>Aineettomien ja aineellisten hyödykkeiden myyntivoitot ja -tappiot ja muut oikaisut</t>
  </si>
  <si>
    <t>Uudelleenryhmittelyt</t>
  </si>
  <si>
    <t>Risto Murto, hallituksen jäsen</t>
  </si>
  <si>
    <t>5. Liiketoiminnan muut tuotot</t>
  </si>
  <si>
    <t>6. Materiaalit ja palvelut</t>
  </si>
  <si>
    <t>7. Työsuhde-etuuksista aiheutuvat kulut</t>
  </si>
  <si>
    <t>8. Poistot ja arvonalentumiset</t>
  </si>
  <si>
    <t>=+IF('Basic data'!$C$4=1;Y42;IF('Basic data'!$C$4=2;Z42;AA42))</t>
  </si>
  <si>
    <t>Emoyhtiön osakkeenomistajille kuuluva osakekohtainen tulos (laimentamaton ja laimennettu):</t>
  </si>
  <si>
    <t/>
  </si>
  <si>
    <t>Tuloslaskelmaan kirjatut etuudet</t>
  </si>
  <si>
    <t>Efektiivisen verokannan täsmäytyslaskelma:</t>
  </si>
  <si>
    <t>Mauritania</t>
  </si>
  <si>
    <t>Yleistä</t>
  </si>
  <si>
    <t>Valuuttariski</t>
  </si>
  <si>
    <t>Gabon</t>
  </si>
  <si>
    <t>Wärtsilä Central Africa Gabon</t>
  </si>
  <si>
    <t>Määräysvallattomien omistajien osuus konsernin toiminnoista ja rahavirroista ei ole olennainen yksittäisten tytäryhtiöiden osalta.
Listassa ei ole mukana sellaisia tytäryhtiöitä, joilla ei ole vaikutusta konsernin tulokseen tai varoihin. Suomen kirjanpitoasetuksen mukainen täydellinen luettelo sisältyy yhtiön virallisiin tilinpäätösasiakirjoihin.</t>
  </si>
  <si>
    <t>Osakeannin yhteydessä yhtiön saamat osakkeen merkintähinnat kirjataan osakepääomaan, ellei osakeantipäätöksen yhteydessä olla päätetty, että osa merkintähinnasta kirjataan sijoitetun vapaan oman pääoman rahastoon.</t>
  </si>
  <si>
    <t>Muut*</t>
  </si>
  <si>
    <t>Tilikauden nettotulos</t>
  </si>
  <si>
    <t>Tilikauden tulos jatkuvista toiminnoista</t>
  </si>
  <si>
    <t>Tilikauden tulos lopetetuista toiminnoista</t>
  </si>
  <si>
    <t>Verot eristä, jotka saatetaan myöhemmin siirtää tulosvaikutteisiksi</t>
  </si>
  <si>
    <t>Sijoitetun pääoman tuotto (ROI), jatkuvat toiminnot</t>
  </si>
  <si>
    <t>Oman pääoman tuotto (ROE), jatkuvat toiminnot</t>
  </si>
  <si>
    <t>Voitot (-) / tappiot (+) velvoitteen täyttämisestä</t>
  </si>
  <si>
    <t>Sveitsin järjestely</t>
  </si>
  <si>
    <t>Marine Solutions</t>
  </si>
  <si>
    <t>Energy Solutions</t>
  </si>
  <si>
    <t>Kaj-Gustaf Bergh, hallituksen jäsen</t>
  </si>
  <si>
    <t>Sune Carlsson, hallituksen varapuheenjohtaja</t>
  </si>
  <si>
    <t>Holding</t>
  </si>
  <si>
    <t>tulos/osake (EPS), laimentamaton ja laimennettu</t>
  </si>
  <si>
    <t>oikaistu osakekurssi tilikauden lopussa</t>
  </si>
  <si>
    <t>emoyhtiön osakkeenomistajat</t>
  </si>
  <si>
    <t>määräysvallattomat omistajat</t>
  </si>
  <si>
    <t>maksetut osingot</t>
  </si>
  <si>
    <t>Henkilöstö tilikauden lopussa</t>
  </si>
  <si>
    <t>Henkilöstön vähentämiseen liittyvät kulut</t>
  </si>
  <si>
    <t>Arvonalentumiset ja alaskirjaukset</t>
  </si>
  <si>
    <t>Osakkuus- ja yhteisyritysten tulosten vaikutus</t>
  </si>
  <si>
    <t>Verovapaiden tulojen ja vähennyskelvottomien kulujen vaikutus</t>
  </si>
  <si>
    <t xml:space="preserve">Wärtsilässä on vireillä verotarkastuksia joissakin maissa, mistä voi aiheutua jälkiveropäätöksiä ja niistä johtuvia veroja liitännäismaksuineen. </t>
  </si>
  <si>
    <t>ulkona olevien osakkeiden painotettu keskiarvo*</t>
  </si>
  <si>
    <t>Konsernin tulos-
laskelmaan 
kirjatut erät</t>
  </si>
  <si>
    <t>Järjestelyyn kuuluvien varojen tuotto, poislukien korkotuotto</t>
  </si>
  <si>
    <t>miehet</t>
  </si>
  <si>
    <t>naiset</t>
  </si>
  <si>
    <t>Etuuspohjaisten
eläkejärjestelyjen 
nettovelvoitteet, MEUR</t>
  </si>
  <si>
    <t>maksetaan seuraavan vuoden kuluessa</t>
  </si>
  <si>
    <t>maksetaan vuotta pidemmän ajan ja enintään viiden vuoden kuluttua</t>
  </si>
  <si>
    <t>maksetaan myöhemmin</t>
  </si>
  <si>
    <t>muut vastuut</t>
  </si>
  <si>
    <t>lainat rahoituslaitoksilta</t>
  </si>
  <si>
    <t>Tuotanto, myynti ja huolto</t>
  </si>
  <si>
    <t>Myynti ja huolto</t>
  </si>
  <si>
    <t>Kiinteistöt</t>
  </si>
  <si>
    <t>Toiminnot</t>
  </si>
  <si>
    <t>Wärtsilän riskienhallintapolitiikka on hyväksytty yhtiön hallituksessa. Rahoitusriskien suojausinstrumentteina käytetään vain sellaisia instrumentteja, joiden markkina-arvoa ja riskiprofiilia voidaan luotettavasti seurata.</t>
  </si>
  <si>
    <t>Konserniyhtiöt sijoittavat kaikki rahavaransa konsernin rahoitustoiminnon tileille, mikäli paikallinen lainsäädäntö ja keskuspankin säännöt sallivat sen. Konsernin varat sijoitetaan instrumentteihin, joilla on riittävä likviditeetti (lyhytaikaiset pankkitalletukset tai suomalaiset yritystodistukset) ja luottoluokitus (vähintään yksi-A tai konsernin talous- ja rahoitusjohtajan erikseen hyväksymä sijoitus). Group Treasury seuraa jatkuvasti kyseisiä sijoituksia eikä näistä odoteta luottotappioita.</t>
  </si>
  <si>
    <t>Konsernin myymien myyntisaamisten määrä on tällä hetkellä myyntisaamisten kokonaismäärään verrattuna merkityksetön. Myydyt myyntisaamiset on kirjattu pois konsernin taseesta.</t>
  </si>
  <si>
    <t>Etuuspohjaisen nettovelan uudelleenmäärittämisestä johtuvat erät</t>
  </si>
  <si>
    <t>Uudelleenmäärittämisestä johtuvat erät muissa laajan tuloslaskelman erissä:</t>
  </si>
  <si>
    <t>Käyvän arvon muutoksiin liittyvät verot</t>
  </si>
  <si>
    <t>49.0</t>
  </si>
  <si>
    <t>CSSC Wärtsilä Engine (Shanghai) Co., Ltd.</t>
  </si>
  <si>
    <t>Etuuspohjaisten eläkejärjestelyjen nettovelka 31.12.</t>
  </si>
  <si>
    <t>Muut pitkäaikaiset työsuhde-etuudet 31.12.</t>
  </si>
  <si>
    <t>Alustava vastike</t>
  </si>
  <si>
    <t>Kokonaishankintameno</t>
  </si>
  <si>
    <t>Yrityshankinnan alustava rahavirtavaikutus</t>
  </si>
  <si>
    <t>Maksettu hankintahinta</t>
  </si>
  <si>
    <t>Hankitut rahavarat</t>
  </si>
  <si>
    <t>Yrityshankinnan rahavirtavaikutus yhteensä</t>
  </si>
  <si>
    <t>Hankittujen varojen ja vastattaviksi otettujen velkojen alustavat arvot hankintahetkellä</t>
  </si>
  <si>
    <t>Myyntisaamiset ja muut saamiset</t>
  </si>
  <si>
    <t>Ostovelat ja muut velat</t>
  </si>
  <si>
    <t>Laskennallinen verovelka</t>
  </si>
  <si>
    <t>Varaukset ja velat yhteensä</t>
  </si>
  <si>
    <t>Nettovarallisuus yhteensä</t>
  </si>
  <si>
    <t>Alustava liikearvo</t>
  </si>
  <si>
    <t>Quantiparts B.V.</t>
  </si>
  <si>
    <t>Wärtsilä JOVYATLAS EUROATLAS GmbH</t>
  </si>
  <si>
    <t>Wärtsilä ELAC Nautik GmbH</t>
  </si>
  <si>
    <t>Wärtsilä SAM Electronics GmbH</t>
  </si>
  <si>
    <t>Wärtsilä Funa International GmbH</t>
  </si>
  <si>
    <t>Wärtsilä APSS Srl</t>
  </si>
  <si>
    <t>Wärtsilä Valmarine AS</t>
  </si>
  <si>
    <t>Wärtsilä Dynamic Positioning Inc.</t>
  </si>
  <si>
    <t>SAM Taihang Electronics Ltd.</t>
  </si>
  <si>
    <t>Velat ja vastuut ja muut sitoumukset sekä vakuudet, joiden vakuudeksi on annettu yrityskiinnityksiä</t>
  </si>
  <si>
    <t>Wärtsilä Mocambique LDA</t>
  </si>
  <si>
    <t>Wärtsilä Lyngsø Marine A/S</t>
  </si>
  <si>
    <t>3. Yritysmyynnit</t>
  </si>
  <si>
    <t>Aineettomien ja aineellisten hyödykkeiden myyntivoitot</t>
  </si>
  <si>
    <t>Toimitettuihin tuotteisiin liittyvät arvioidut takuukustannukset käsitellään varauksena, jonka suuruus perustuu kokemusperäiseen tietoon aiemmin toteutuneista takuukustannuksista. Yleinen takuuaika kattaa vuoden toimituksesta eteenpäin.</t>
  </si>
  <si>
    <t>Wärtsilä Services Switzerland AG</t>
  </si>
  <si>
    <t>Rahoitustuotot</t>
  </si>
  <si>
    <t>Rahoituskulut</t>
  </si>
  <si>
    <t>Oma pääoma 31.12.2016</t>
  </si>
  <si>
    <t>Carrying amount on 1 January</t>
  </si>
  <si>
    <t>Carrying amount on 31 December</t>
  </si>
  <si>
    <t>Tietoja konsernin rahavirtalaskelmasta</t>
  </si>
  <si>
    <t>Vertailukelpoinen oikaistu EBITA</t>
  </si>
  <si>
    <t>Vertailukelpoinen liiketulos</t>
  </si>
  <si>
    <t>Hankintamenojen allokointeihin liittyvät poistot</t>
  </si>
  <si>
    <t>Vertailukelpoisuuteen vaikuttavat erät:</t>
  </si>
  <si>
    <t>liiketulos – vertailukelpoisuuteen vaikuttavat erät – hankintamenojen allokointeihin liittyvät poistot</t>
  </si>
  <si>
    <t>liiketulos – vertailukelpoisuuteen vaikuttavat erät</t>
  </si>
  <si>
    <t>Vertailukelpoisuuteen vaikuttavat erät</t>
  </si>
  <si>
    <t>Vertailukelpoisuuteen vaikuttavat erät liittyvät rakennejärjestelyihin tai ovat muutoin tavalliseen liiketoimintaan kuulumattomiin tapahtumiin tai toimintoihin liittyviä kertaluonteisia kustannuksia</t>
  </si>
  <si>
    <t>Tulos/osake (EPS), laimentamaton ja laimennettu, euroa</t>
  </si>
  <si>
    <t>määräysvallattomien omistajien osuus</t>
  </si>
  <si>
    <t>Etuus-
pohjaisen
nettovelan
uudelleen-
määrittämi-
sestä joh-
tuvat erät</t>
  </si>
  <si>
    <t>Käypään arvoon tulosvaikutteisesti kirjattavien rahoitusvarojen ja -velkojen arvonmuutokset</t>
  </si>
  <si>
    <t>Arvonmäärittelemisessä avaintekijöitä ovat maailman talouden kasvu ja erityisesti globaalien energiamarkkinoiden kehitys, globaali laivanrakennusteollisuus sekä niihin liittyvien palveluiden kysyntä. Markkinoiden kokonaiskustannusten arvioidun kehityksen nähdään vaikuttavan kannattavuustasoon, kun taas yksittäisten kuluerien hintakehityksellä ei ole olennaista merkitystä laskelmiin. Avaintekijä tuotteiden ja laitteiden uusmyynnin arvonmäärittelemisessä on maailman talouden kasvu, kun taas avaintekijät huoltotoiminnoissa liittyvät myös vastaavien palvelujen kysyntään ja arvioihin työkustannusten kehityksestä markkinoilla.</t>
  </si>
  <si>
    <t>Saksan järjestelyt</t>
  </si>
  <si>
    <t>Oman pääoman ehtoiset instrumentit</t>
  </si>
  <si>
    <t>Joukkovelkakirjat ja muut rahoitusinstrumentit</t>
  </si>
  <si>
    <t>Tärkeimmät vakuutusmatemaattiset oletukset tilikauden lopussa ovat (ilmoitettu painotettuna keskiarvona):</t>
  </si>
  <si>
    <t>Järjestelyyn kuuluvien henkilöiden eläkeikä 20 vuoden kuluttua tilikauden päättymisestä:</t>
  </si>
  <si>
    <t>Järjestelyyn kuuluvien henkilöiden eläkeikä tilikauden lopussa:</t>
  </si>
  <si>
    <t>Koron- ja valuutanvaihtosopimukset</t>
  </si>
  <si>
    <t>Lähipiirin muodostavat hallituksen jäsenet, toimitusjohtaja, johtokunnan jäsenet sekä osakkuus- ja yhteisyritykset.</t>
  </si>
  <si>
    <t>Maantie-
teellinen 
alue</t>
  </si>
  <si>
    <t>Omistus-
osuus %</t>
  </si>
  <si>
    <t>Konsernin keskitetyllä rahoitustoiminnolla on kaksi päätehtävää: hankkia riittävästi rahoitusta konsernin tarpeisiin kilpailukykyisellä hinnalla, ja tunnistaa ja arvioida konsernin rahoitusriskit sekä tehdä konserniyhtiöiden tarvitsemat suojaukset.</t>
  </si>
  <si>
    <t>Tarkoituksena on suojautua rahoitusmarkkinoilla tapahtuvilta epäsuotuisilta heilahteluilta sekä minimoida valuutta-, korko-, likviditeetti- ja luottoriskien vaikutus konsernin rahavaroihin, tulokseen ja omaan pääomaan.</t>
  </si>
  <si>
    <t>Tilauskertymä</t>
  </si>
  <si>
    <t>Tilauskanta tilikauden lopussa</t>
  </si>
  <si>
    <t>hankintamenojen allokointeihin liittyvät poistot</t>
  </si>
  <si>
    <t>Vertailukelpoisuuteen vaikuttavat erät yhteensä</t>
  </si>
  <si>
    <t>osakkeet ja yrityshankinnat</t>
  </si>
  <si>
    <t>Kvartaalitunnuslukuja</t>
  </si>
  <si>
    <t>Verot laskettuna emoyhtiön verokannalla 20,0%</t>
  </si>
  <si>
    <t>Nettokäyttöpääoma (WCAP) tilikauden lopussa</t>
  </si>
  <si>
    <t>American Hydro Corporation</t>
  </si>
  <si>
    <t>Ehdollinen vastike</t>
  </si>
  <si>
    <t xml:space="preserve">Pro forma </t>
  </si>
  <si>
    <t>Rahoitussaamisten alaskirjaukset</t>
  </si>
  <si>
    <t>Wärtsilällä on Saksassa paikallisten eläkelakien ja -säännösten mukaisia etuuspohjaisia eläkejärjestelyjä, joihin osallistuville maksetaan eläkettä eläkkeelle jäämisen jälkeen. Eläke-etuus määräytyy kertyneen eläkepääoman mukaan ja se koostuu järjestelyyn työssäoloaikana maksetuista pääomista sekä niihin liittyvistä korkoeristä. Järjestelyjä on erilaisia, rahastoimattomista eläkerahaston hoitamaan järjestelyyn.
Joissain järjestelyissä sekä työntekijä että työnantaja maksavat eläkejärjestelyyn säätiön säännöissä määritellyn prosenttiosuuden palkasta mutta osassa järjestelyitä vain työnantaja on maksuvelvollinen. Työnantajan maksama eläkemaksu voi vaihdella työntekijän iän, työsuhteen keston ja työntekijän aseman mukaan.
Järjestelyjen riskejä ovat pidennys eliniän odotteessa, ennenaikainen kuolema tai vammautuminen sekä mahdollisen eläkesäätiön varojen hallinnoimiseksi valittu investointistrategia. Inflaatiosta johtuva maksettavien eläkkeiden nousu tarkastetaan vuosittain.</t>
  </si>
  <si>
    <t>emoyhtiön osakkeenomistajille kuuluva osuus</t>
  </si>
  <si>
    <t>Yrityshan-
kinnat ja 
-myynnit</t>
  </si>
  <si>
    <t>Pitkäaikaiset palkitsemisjärjestelmät</t>
  </si>
  <si>
    <t>Valuuttakurssierot*</t>
  </si>
  <si>
    <t>Konsernitilinpäätökseen konsolidoidaan noin 60 valuuttaa, joista keskeisimmät esitetään tässä.</t>
  </si>
  <si>
    <t>Eniram Oy</t>
  </si>
  <si>
    <t>Oma pääoma koostuu osakepääomasta, ylikurssirahastosta, muuntoeroista, arvonmuutosrahastosta, etuuspohjaisen nettovelan uudelleenmäärittämisestä johtuvista eristä ja kertyneistä voittovaroista.</t>
  </si>
  <si>
    <t>Toimitusjohtajalla on oikeus jäädä eläkkeelle 63-vuotiaana. Joillakin johtokunnan jäsenillä on oikeus jäädä eläkkeelle 60- tai 63-vuotiaina, paikallisen eläkelainsäädännön mukaisesti. Yhtiöllä ei ole lainasaamisia konsernin johdolta tai hallituksen jäseniltä. Johdon tai osakkaiden puolesta ei ole annettu pantteja tai muita vastuita.</t>
  </si>
  <si>
    <t>Rahat ja pankkisaamiset*</t>
  </si>
  <si>
    <t>1.1.2017</t>
  </si>
  <si>
    <t>31.12.2017</t>
  </si>
  <si>
    <t>** Hallituksen esitys.</t>
  </si>
  <si>
    <t>Oma pääoma 1.1.2017</t>
  </si>
  <si>
    <t>Oma pääoma 31.12.2017</t>
  </si>
  <si>
    <t>Kertyneet poistot ja arvonalentumiset 1.1.2017</t>
  </si>
  <si>
    <t>PwC</t>
  </si>
  <si>
    <t>1–3/
2017</t>
  </si>
  <si>
    <t>4–6/
2017</t>
  </si>
  <si>
    <t>7–9/
2017</t>
  </si>
  <si>
    <t>10–12/
2017</t>
  </si>
  <si>
    <t>Konsernin tase</t>
  </si>
  <si>
    <t>Matkakulut</t>
  </si>
  <si>
    <t>Vuokrakulut</t>
  </si>
  <si>
    <t>Laki- ja konsultointikulut</t>
  </si>
  <si>
    <t>IT-kulut</t>
  </si>
  <si>
    <t>Muut henkilöstöön liittyvät kulut</t>
  </si>
  <si>
    <t>Greensmith Energy Management Systems Inc.</t>
  </si>
  <si>
    <t>Guidance Marine Ltd</t>
  </si>
  <si>
    <t>Guidance Marine LLC</t>
  </si>
  <si>
    <t>Guidance Marine Pte Ltd</t>
  </si>
  <si>
    <t>Wärtsilän päämääränä on varmistaa vahva pääomapohja ylläpitääkseen sijoittajien ja luotonantajien luottamuksen sekä kehittääkseen toimintaansa. Pääomaksi määritellään oma pääoma mukaan lukien määräysvallattomien omistajien osuus ja netotettu korollinen lainapääoma. Wärtsilän tavoitteena on säilyttää nettovelkaantumisaste alle 0,50. Konsernin osinkopolitiikan mukaan tavoitteena on jakaa vähintään 50% osakekohtaisesta tuloksesta osinkona yli suhdannesyklin.</t>
  </si>
  <si>
    <t>Yritysmyynnit 2017</t>
  </si>
  <si>
    <t>Vuonna 2017 ei tehty yritysmyyntejä.</t>
  </si>
  <si>
    <t>Yrityshankinnat 2017</t>
  </si>
  <si>
    <t>Greensmith on markkinajohtaja sähköverkkojärjestelmätasoisten energian varastointiohjelmistojen ja integroitujen energian varastointiratkaisujen kehittämisessä. Hankinnan ansiosta Wärtsilä pystyy laajentamaan globaalia toimintaansa energian varastointimarkkinoilla.</t>
  </si>
  <si>
    <t>Vuonna 2017 konsernin tulokseen sisältyy yrityshankinnasta aiheutuvia kustannuksia 1 milj. euroa, jotka liittyvät ulkopuolisille maksettuihin oikeudellisiin palkkioihin sekä yrityshankinnan kohteen tarkastamiseen (due diligence). Kustannukset sisältyvät konsernin tuloslaskelmassa liiketoiminnan muihin kuluihin.</t>
  </si>
  <si>
    <t>Taseen 
velka-
määrä</t>
  </si>
  <si>
    <t>Johan Forssell, hallituksen jäsen</t>
  </si>
  <si>
    <t>Karin Falk, hallituksen jäsen</t>
  </si>
  <si>
    <t>Tom Johnstone, hallituksen varapuheenjohtaja</t>
  </si>
  <si>
    <t>Hallituksen jäsenet 2.3.2017 saakka</t>
  </si>
  <si>
    <t>Muut sijoitukset</t>
  </si>
  <si>
    <t>tilikauden tulos</t>
  </si>
  <si>
    <t>emoyhtiön osakkeenomistajille kuuluva tilikauden tulos</t>
  </si>
  <si>
    <t>Käypä
arvo</t>
  </si>
  <si>
    <t>Valuuttatermiinit, suojauslaskennan alla</t>
  </si>
  <si>
    <t>Valuuttatermiinit, suojauslaskennan ulkopuolella</t>
  </si>
  <si>
    <t>Lainat</t>
  </si>
  <si>
    <t>Kiinteäkorkoiset lainat</t>
  </si>
  <si>
    <t>Vaihtuvakorkoiset lainat</t>
  </si>
  <si>
    <t>Lainojen palkkiokulut</t>
  </si>
  <si>
    <t>Myynnissä olevat myyntisaamiset</t>
  </si>
  <si>
    <t xml:space="preserve">Käypään 
arvoon 
tulosvaikut-
teisesti </t>
  </si>
  <si>
    <t>Research and development expenditure</t>
  </si>
  <si>
    <t>Osakekohtainen tulos lasketaan jakamalla emoyhtiön osakkeenomistajille kuuluva tilikauden tulos ulkona olevien osakkeiden painotetulla keskiarvolla. Tilikausilla ei ole ollut laimennusvaikutteisia ohjelmia</t>
  </si>
  <si>
    <t>Korkotuotot</t>
  </si>
  <si>
    <t>Korkokulut</t>
  </si>
  <si>
    <t>Muut rahoitustuotot ja -kulut</t>
  </si>
  <si>
    <t>Oikaisu IFRS 9:n mukaisesti</t>
  </si>
  <si>
    <t>Korkotuotot jaksotettuun hankintamenoon kirjattavista eristä</t>
  </si>
  <si>
    <t>19. Muut saamiset</t>
  </si>
  <si>
    <t>20. Rahavarat</t>
  </si>
  <si>
    <t>Muiden investointien myynnit</t>
  </si>
  <si>
    <t>Oma pääoma ja velat</t>
  </si>
  <si>
    <t>Käypään 
arvoon 
laajan
tuloksen
kautta</t>
  </si>
  <si>
    <t>Taso 2</t>
  </si>
  <si>
    <t>Taso 3</t>
  </si>
  <si>
    <t>Rahoitusvarat</t>
  </si>
  <si>
    <t>Rahoitusvelat</t>
  </si>
  <si>
    <t>Kiinteäkorkoisten lainojen osuus kokonaislainasta (mukaanlukien johdannaiset), %</t>
  </si>
  <si>
    <t>Arvonalentumiset kauden alussa</t>
  </si>
  <si>
    <t>Arvonalentumiset kauden aikana</t>
  </si>
  <si>
    <t>Arvonalentumiset kauden lopussa</t>
  </si>
  <si>
    <t>Kesken-
eräiset 
hankinnat
ja 
ennakot</t>
  </si>
  <si>
    <t>Kerty-
neet 
voitto-
varat</t>
  </si>
  <si>
    <t>Määräys-
vallatto-
mien 
omistajien 
osuus</t>
  </si>
  <si>
    <t>Pitkä-
aikaiset
varat*</t>
  </si>
  <si>
    <t>Maa- ja 
vesi-
alueet</t>
  </si>
  <si>
    <t>Jaksotet-
tuun
hankinta-
menoon</t>
  </si>
  <si>
    <t>Muut
laajan 
tuloksen
erät</t>
  </si>
  <si>
    <t>Laskennallisten verosaamisten ja -velkojen muutos tilikauden 2017 aikana</t>
  </si>
  <si>
    <t>Käyvän arvon hierarkia</t>
  </si>
  <si>
    <t>Muut sijoitukset sisältävät käypään arvoon arvostettuja noteeraamattomia osakkeita. Näitä sijoituksia tarkastellaan DCF-mallien avulla, joissa kriittiset oletukset liittyvät WACC:in tasoon ja odotettuihin rahavirtoihin osingoista. Eri skenaarioilla saadaan kuitenkin niin erilaisia tuloksia, että johdon arvioiden mukaan jaksotettuun hankintamenoon arvostaminen on lähinnä käypää arvoa.</t>
  </si>
  <si>
    <t>Arvonmuutosrahasto 31.12.2017</t>
  </si>
  <si>
    <t>-15</t>
  </si>
  <si>
    <t>Muut rahavarat</t>
  </si>
  <si>
    <t>Kiinteä-
hintaiset
osto- ja
myynti-
sopimukset</t>
  </si>
  <si>
    <t>(vaihto-omaisuus + myyntisaamiset + verosaamiset + muut korottomat saamiset)
– (ostovelat + saadut ennakot + eläkevelvoitteet + varaukset + verovelat + muut korottomat velat – osingonmaksuvelka)</t>
  </si>
  <si>
    <t>Raken-
nukset 
ja raken-
nelmat</t>
  </si>
  <si>
    <t>Kesken-
eräiset 
hankin-
nat ja 
ennakot</t>
  </si>
  <si>
    <t>Varaukset 1.1.2017</t>
  </si>
  <si>
    <t>Varaukset 31.12.2017</t>
  </si>
  <si>
    <t>Hankintameno 1.1.2017</t>
  </si>
  <si>
    <t>Hankintameno 31.12.2017</t>
  </si>
  <si>
    <t>Kertyneet poistot ja arvonalentumiset 31.12.2017</t>
  </si>
  <si>
    <t>Kirjanpitoarvo 31.12.2017</t>
  </si>
  <si>
    <t>Koneet
ja ka-
lusto</t>
  </si>
  <si>
    <t>Yh-
teensä</t>
  </si>
  <si>
    <t>Vähennykset ja muut muutokset</t>
  </si>
  <si>
    <t>Brutto-
määrä</t>
  </si>
  <si>
    <t>Netto-
määrä</t>
  </si>
  <si>
    <t>Vaikutus
omaan
pääomaan</t>
  </si>
  <si>
    <t>Liikearvo/rahavirtaa tuottava yksikkö</t>
  </si>
  <si>
    <t>* Sisäisiä transaktioita, joihin varsinaiset suojauslaskentakirjaukset perustuvat.</t>
  </si>
  <si>
    <t>* Muut valuutat eivät sisällä merkittäviä yksittäisiä valuuttoja.</t>
  </si>
  <si>
    <t>* Interna transaktioner. De egentliga säkringsredovisningsposterna baseras på dessa.</t>
  </si>
  <si>
    <t>Valuuttatermiinit, joihin sovelletaan suojauslaskentaa*</t>
  </si>
  <si>
    <t xml:space="preserve">Ennustetut, erittäin todennäköiset rahavirrat vuosittain (suojattu) </t>
  </si>
  <si>
    <t>Liikearvon kohdistaminen</t>
  </si>
  <si>
    <t>Rahavirtaa tuottavan yksikön kerrytettävissä olevan rahamäärän arvo perustuu käyttöarvolaskelmaan. RTY:n käyttöarvo määritellään nykyisen tilauskannan ja johdon hyväksymien strategisten suunnitelmien mukaisten tulevan viiden vuoden kassavirtojen diskontatulla nykyarvomenetelmällä. Yksikön arvioitu rahavirta perustuu kiinteistön, tehtaan ja välineistön käyttöön niiden nykyisessä kunnossa normaaleilla ylläpitoinvestoinneilla ilman mahdollisia tulevaisuuden yrityshankintoja. Rahavirrat, jotka ulottuvat viiden vuoden ennustejakson jälkeiselle ajalle, on laskettu käyttäen ns. loppuarvomenetelmää. Loppuarvon kasvun määrittelemisessä on käytetty johdon konservatiivista arvioita kassavirran pitkän aikavälin kasvusta. Loppuarvon kasvutekijänä on käytetty 2%:n vuotuista kasvua.</t>
  </si>
  <si>
    <t>Johto on arvioinut, ettei mikään muutos keskeisissä oletuksissa saisi aikaan tilannetta, jossa rahavirtaa tuottavan yksikön kirjanpitoarvo ylittäisi sen kerrytettävissä olevan rahamäärän. Rahavirtaa tuottavalle yksikölle on tehty herkkyysanalyysi muuttamalla laskentaoletuksia. Alla olevassa taulukossa on esitetty vaadittava muutos oletuksessa, jolla kerrytettävissä olevan rahamäärän arvo vastaisi kirjanpitoarvoa.</t>
  </si>
  <si>
    <t>Korolliset sijoitukset, pitkäaikaiset</t>
  </si>
  <si>
    <t>Muut saamiset, pitkäaikaiset</t>
  </si>
  <si>
    <t>Pro Forma</t>
  </si>
  <si>
    <t>Ruotsalainen Puregas Solutions toimittaa kokonaisratkaisuja biokaasun jalostukseen, ja sillä on vahva markkina-asema toimialallaan. Hankinta vahvistaa Wärtsilän asemaa biokaasun nesteytysmarkkinoilla.</t>
  </si>
  <si>
    <t>Vuonna 2017 konsernin tulokseen sisältyy yrityshankinnoista aiheutuvia kustannuksia 1 milj. euroa, jotka liittyvät ulkopuolisille maksettuihin oikeudellisiin palkkioihin sekä yrityshankinnan kohteen tarkastamiseen (due diligence). Kustannukset sisältyvät konsernin tuloslaskelmassa liiketoiminnan muihin kuluihin.</t>
  </si>
  <si>
    <t>Puregas Solutions is a Sweden based leader in turnkey biogas upgrading solutions. The acquisition complements Wärtsilä’s existing position in the biogas liquefaction market.</t>
  </si>
  <si>
    <t>During 2017, the Group incurred acquisition-related costs of EUR 1 million related to external legal fees and due diligence costs. The costs have been included in the other operating expenses in the consolidated statement of income.</t>
  </si>
  <si>
    <t>Arvonmuutosrahasto sisältää rahavirran suojauksessa käytettyjen instrumenttien käyvän arvon muutokset, jos suojaus on tehokas ja täyttää suojauslaskennan edellytykset. Muutokset arvonmuutosrahastoon sisältyvissä erissä kirjataan muihin laajan tuloksen eriin.</t>
  </si>
  <si>
    <t>Diskonttauskorko, ennen veroja</t>
  </si>
  <si>
    <t>Loppuarvon kasvuvauhti</t>
  </si>
  <si>
    <t>Kannattavuus</t>
  </si>
  <si>
    <t>Rahoitusinstrumenttien arvostamiseen käytettävät arvostusmallit:</t>
  </si>
  <si>
    <t>• valuuttatermiinisopimusten käyvän arvon määrittely tilinpäätöspäivän termiinikursseilla</t>
  </si>
  <si>
    <t>• noteerattujen markkinahintojen tai välittäjän samankaltaisille instrumenteille tarjoamien hintojen käyttäminen</t>
  </si>
  <si>
    <t>• koronvaihtosopimusten käypien arvojen laskeminen havainnoitavissa olevien tuottokäyrien perusteella arvioituihin tulevaisuuden rahavirtojen nykyarvoihin</t>
  </si>
  <si>
    <t>* Intragroup transactions, on which the actual hedge accounting bookings are based.</t>
  </si>
  <si>
    <t>Impairment</t>
  </si>
  <si>
    <t>Lisätietoja omasta pääomasta esitetään emoyhtiön tilinpäätöksen liitetiedoissa, liitetiedossa 10. Oma pääoma.</t>
  </si>
  <si>
    <t>Konserni tekee liikearvon arvonalentumistestauksen vuosittain 30.9., tai kun esiintyy viitteitä, että kerrytettävissä oleva rahamäärä saattaa olla alle kirjanpitoarvon.</t>
  </si>
  <si>
    <t>Jos yrityshankinta olisi toteutunut 1.1.2017, olisi konsernin liikevaihto ollut johdon arvioiden mukaan 4.928 milj. euroa. Hankinnan vaikutus konsernin liiketulokseen ei olisi ollut merkittävä. Liikevaihtoa ja liiketulosta määrittäessä johto arvioi, että käypien arvojen oikaisut hankintapäivänä olisivat samat, jos hankinta olisi toteutunut 1.1.2017.</t>
  </si>
  <si>
    <t>Muut yrityshankinnat</t>
  </si>
  <si>
    <t>Yrityshankintojen alustava rahavirtavaikutus</t>
  </si>
  <si>
    <t>Yrityshankintojen rahavirtavaikutus yhteensä</t>
  </si>
  <si>
    <t>9. Liiketoiminnan muut kulut</t>
  </si>
  <si>
    <t>Tuotekehityskulut</t>
  </si>
  <si>
    <t>31.12.2018</t>
  </si>
  <si>
    <t>2017*</t>
  </si>
  <si>
    <t>10–12/
2018</t>
  </si>
  <si>
    <t>7–9/
2018</t>
  </si>
  <si>
    <t>4–6/
2018</t>
  </si>
  <si>
    <t>1–3/
2018</t>
  </si>
  <si>
    <t>Oikaisu IFRS 15:n mukaisesti</t>
  </si>
  <si>
    <t>Oma pääoma 31.12.2018</t>
  </si>
  <si>
    <t>Oma pääoma 1.1.2018</t>
  </si>
  <si>
    <t>Yrityshankinnat 2018</t>
  </si>
  <si>
    <t>The preliminary goodwill of EUR 120 million reflects the value of know-how and expertise in grid-scale energy storage and integrated solutions. Wärtsilä foresees that the acquisition will strengthen its position as an energy system integrator as well as support its growth strategy by improving Wärtsilä's offering and services towards customers.</t>
  </si>
  <si>
    <t>During 2017 the Group incurred acquisition-related costs of EUR 1 million related to external legal fees and due diligence costs. The costs have been included in the other operating expenses in the consolidated statement of income.</t>
  </si>
  <si>
    <t>In October, Wärtsilä acquired 100% of Puregas Solutions Ab and Guidance Navigation Holdings Limited.</t>
  </si>
  <si>
    <t>Guidance Navigation Holdings Limited is a UK based privately owned company. The company is a technology leader in the marine industry for sensor solutions relating to dynamic positioning and other vessel control systems. The acquisition enhances Wärtsilä’s capabilities in the areas of situational awareness and near-field measurement, both essential for more intelligent vessel navigation.</t>
  </si>
  <si>
    <t>Yritysmyynnit 2018</t>
  </si>
  <si>
    <t>10. Rahoitustuotot ja -kulut</t>
  </si>
  <si>
    <t>11. Tuloverot</t>
  </si>
  <si>
    <t>12. Osakekohtainen tulos</t>
  </si>
  <si>
    <t>13. Aineettomat hyödykkeet</t>
  </si>
  <si>
    <t>14. Aineelliset hyödykkeet</t>
  </si>
  <si>
    <t>15. Sijoitukset osakkuus- ja yhteisyrityksiin</t>
  </si>
  <si>
    <t>16. Rahoitusvarat ja -velat arvostusryhmittäin</t>
  </si>
  <si>
    <t>17. Vaihto-omaisuus</t>
  </si>
  <si>
    <t>Wärtsilä Puregas Solutions A/S</t>
  </si>
  <si>
    <t>Wärtsilä Puregas Solutions GmbH</t>
  </si>
  <si>
    <t>Wärtsilä Puregas Solutions Ltd</t>
  </si>
  <si>
    <t>Wärtsilä Puregas Solutions AB</t>
  </si>
  <si>
    <t>22. Laskennalliset verot</t>
  </si>
  <si>
    <t>23. Eläkevelvoitteet</t>
  </si>
  <si>
    <t>24. Oma pääoma</t>
  </si>
  <si>
    <t>25. Varaukset</t>
  </si>
  <si>
    <t>26. Rahoitusvelat</t>
  </si>
  <si>
    <t>27. Muut velat</t>
  </si>
  <si>
    <t>28. Johdannaisinstrumentit</t>
  </si>
  <si>
    <t>29. Annetut vakuudet, vastuusitoumukset ja muut vastuut</t>
  </si>
  <si>
    <t>30. Lähipiiritapahtumat</t>
  </si>
  <si>
    <t>31. Rahoitusriskit</t>
  </si>
  <si>
    <t>32. Tilintarkastajien palkkiot ja palvelut</t>
  </si>
  <si>
    <t>33. Tilinpäätöskursseja</t>
  </si>
  <si>
    <t>34. Tytäryhtiöt</t>
  </si>
  <si>
    <t>35. Tilinpäätöspäivän jälkeiset tapahtumat</t>
  </si>
  <si>
    <t>Korolliset velat, pitkäaikaiset*</t>
  </si>
  <si>
    <t>Johdannaiset**</t>
  </si>
  <si>
    <t>Tulos/osake (EPS), laimentamaton ja laimennettu***</t>
  </si>
  <si>
    <t>Osinko/osake***</t>
  </si>
  <si>
    <t>* Vertailukauden 2017 luvut on oikaistu IFRS 15:n käyttöönoton seurauksena.</t>
  </si>
  <si>
    <t>*** Yhtiökokouksen 8.3.2018 hyväksymä maksuton osakeanti (osakkeiden splittaus) nosti osakkeiden kokonaismäärän 591.723.390:een. Vertailukausien luvut on oikaistu tämän mukaisesti.</t>
  </si>
  <si>
    <t>Resultat per aktie har justerats i jämförelseperioder för att återspegla ökningen i antalet aktier.</t>
  </si>
  <si>
    <t>Tulos/osake on vertailukausien osalta oikaistu vastaamaan uutta osakemäärää.</t>
  </si>
  <si>
    <t>Sopimukseen perustuvat varat</t>
  </si>
  <si>
    <t>Sopimukseen perustuvat velat</t>
  </si>
  <si>
    <t>Wärtsilän ylin operatiivinen päätöksentekijä (CODM, Chief Operating Decision Maker) on toimitusjohtaja, jota tukee johtokunta ja joissain tapauksissa myös hallitus. Toimitusjohtaja arvioi konsernin kannattavuutta, taloudellista tilaa ja kehitystä kokonaisuutena. Ylimmän operatiivisen päätöksentekijän johtamistavan seurauksena Wärtsilä on yksi toimintasegmentti.</t>
  </si>
  <si>
    <t>Maantieteellisenä informaationa raportoidaan Suomi, muu Eurooppa, Aasia, Amerikka ja muut maanosat. Maantieteellinen informaatio määräytyy liikevaihdon osalta asiakkaan kotimaan mukaan sekä pitkäaikaisten varojen osalta sen mukaan, missä ne sijaitsevat.</t>
  </si>
  <si>
    <t>Liikevaihto markkina-alueittain ja Services</t>
  </si>
  <si>
    <t>Lokakuussa Wärtsilä hankki 100% Puregas Solutions Ab:stä ja Guidance Navigation Holdings Limitedistä.</t>
  </si>
  <si>
    <t>Guidance Navigation Holdings Limited on yksityisomistuksessa oleva yhtiö Iso-Britanniasta. Se tunnetaan merenkulkuteollisuudessa dynaamiseen positiointiin ja muihin aluksen hallinnointijärjestelmiin, kuten törmäyksenestoon ja kauko-ohjaustoimintaan, liittyvien sensoriratkaisujen teknologiajohtajana. Hankinta parantaa Wärtsilän osaamista tilannevalveutuneisuuden ja lähialueen mittauksen alalla, jotka molemmat ovat keskeisessä osassa älykkäässä alusnavigoinnissa.</t>
  </si>
  <si>
    <t>Alla olevissa taulukoissa on esitetty tiivistetysti alustavat määrät maksetuista vastikkeista, yrityshankintojen rahavirtavaikutuksesta sekä Wärtsilälle hankittujen varojen ja vastattaviksi otettujen velkojen arvoista hankintahetkillä.</t>
  </si>
  <si>
    <t>Hankittujen varojen ja vastattaviksi otettujen velkojen alustavat arvot hankintahetkillä</t>
  </si>
  <si>
    <t>Jos muut yrityshankinnat olisivat toteutuneet 1.1.2017, olisi konsernin liikevaihto ollut johdon arvioiden mukaan 4.940 milj. euroa. Hankintojen vaikutus konsernin liiketulokseen ei olisi ollut merkittävä. Liikevaihtoa ja liiketulosta määrittäessä johto arvioi, että käypien arvojen oikaisut hankintapäivinä olisivat samat, jos hankinnat olisivat toteutuneet 1.1.2017.</t>
  </si>
  <si>
    <t>* Muut verot koostuvat pääosin hyödyntämättä jääneistä lähdeveroista ja muista kuin suoraan verotettavaan tuloon perustuvista veroista.</t>
  </si>
  <si>
    <t>verokantojen muutoksen vaikutus</t>
  </si>
  <si>
    <t>Emoyhtiön osakkeenomistajille kuuluva tilikauden tulos</t>
  </si>
  <si>
    <t>Yrityshankinnoissa syntyvä liikearvo kohdistetaan rahavirtaa tuottavalle yksikölle (RTY),  joka on konsernin toimintasegmentti. Toimintasegmentti on alin taso, jolla konserni seuraa liikearvoa. Tilikauden aikana hankittujen yritysten liikearvo kohdistetaan konsernin RTY:lle hankintapäivänä. Myös aiemmin erillään esitetyt RTY:t  on integroitu tilikauden aikana Wärtsilään. Liikearvon kohdentaminen on esitetty alla olevan taulukon mukaisesti.</t>
  </si>
  <si>
    <t>Tuote-
kehitys-
kulut</t>
  </si>
  <si>
    <t>Muut rahoitussaamiset</t>
  </si>
  <si>
    <t>Muut rahoitusvelat</t>
  </si>
  <si>
    <t>Käypään arvoon arvostettavat rahoitusinstrumentit on luokiteltu seuraavan käyvän arvon hierarkian mukaisesti: instrumentit, joille on olemassa aktiivisilla markkinoilla julkisesti noteerattu hinta (taso 1), instrumentit, joille on olemassa muu havainnoitavissa oleva suora tai epäsuora hinta kuin noteerattu tason 1 mukainen hinta (taso 2) ja instrumentit, joille ei löydy havainnoitavissa olevaa markkinahintaa (taso 3). Käypään arvoon arvostettaviin instrumentteihin kuuluvat käypään arvoon tulosvaikutteisesti kirjattavat rahoitusvarat ja -velat. Lyhytaikaisten saamisten lyhyen luonteen vuoksi niiden kirjanpitoarvojen katsotaan olevan yhtä kuin niiden käyvät arvot.</t>
  </si>
  <si>
    <t>Alaskirjaukset</t>
  </si>
  <si>
    <t>21. Nettovelan täsmäytys</t>
  </si>
  <si>
    <t>Maksuton osakeanti 12.3.2018</t>
  </si>
  <si>
    <t>Kiinteähintaiset osto- ja myyntisopimukset suojataan yleensä käyttämällä valuuttatermiinejä niiden kassavirtojen valuuttakurssiin liittyvien muutosten minimoimiseksi. Koska tavoitteena on suojautua ja soveltaa suojauslaskentaa (rahavirran suojaus) vain valuuttariskin osalta, kaikki korkotasoon/suojausperiodiin liittyvät voitot/tappiot kirjataan suoraan rahoituseriin. Koska allaolevilla rahavirroilla voi olla pitkiä maturiteetteja, niihin liittyvät suojaukset voidaan tehdä lyhyempiin eräpäiviin ja niitä voidaan jatkaa tarvittaessa niin, että eräpäivänä näiden suojausten valuuttakurssimuutoksiin liittyvät voitot ja tappiot korvaavat kokonaan allaolevien rahavirtojen valuuttakurssimuutokset. Tilauksen peruuttaminen tai myynti-/ostohinnan vähentäminen voi  tehdä siihen liittyvän suojauksen (osittain) tehottomaksi. Tehottomuus kirjataan heti rahoituseriin.</t>
  </si>
  <si>
    <t>Koska suojaukset tehdään tyypillisesti lyhyillä maturiteeteilla (enintään 1 vuosi) ja käyttäen vain korkean luottoluokituksen (A- vähimmäisluottoluokkavaatimus) vastapuolia, vastapuoliriskillä on vähäinen vaikutus suojien markkina-arvon määrittämiseen. Koska joidenkin suojattavien rahavirtojen maturiteetti on pidempi kuin niitä suojaavien instrumenttien, suojausten ja allaolevien rahavirtojen nykyarvon muutokset eivät aina täysin kompensoi toisiaan suojauksen elinaikana. Maturiteettierosta johtuva tehottomuus lasketaan vuosineljänneksittäin ja kirjataan konsernitasolla rahoituseriin.</t>
  </si>
  <si>
    <t>Valuuttatermiinit, joihin sovelletaan suojauslaskentaa</t>
  </si>
  <si>
    <t>Likvidien varojen sijoittamiseen ja rahoitusinstrumenttien kaupankäyntiin liittyviä luottoriskejä minimoidaan asettamalla luottorajat vastapuolille sekä tekemällä sopimuksia vain johtavien koti- ja ulkomaisten pankkien ja rahoituslaitosten kanssa.</t>
  </si>
  <si>
    <t>Myyntisaamisten ja valmiusasteen mukaisesti tuloutettujen saamisten osalta käytetään yksinkertaistettua mallia, jossa luottotappioiden arvioitu määrä perustuu saamisten eliniän odotettuihin luottotappioihin. Valmiusasteen mukaisesti tuloutetut saamiset katetaan yleensä asiakkailta saaduilla ennakkomaksuilla, joten eliniän odotettujen luottotappioiden mallia sovelletaan pääasiassa myyntisaamisiin. Erääntymättömien myyntisaamisten - enintään 359 päivää vanhojen myyntisaamisten osalta kirjataan luottotappiota 0,1%–2,0% saamisten ikäjakauman sekä alkuperän mukaisesti. Määrittäessään arvioituja luottotappioprosentteja konserni tarkastelee toteutuneita luottotappioprosentteja kategorioittain makroekonomisen ennusteen huomioiden. Näiden lisäksi 360 päivää vanhempien saamisten osalta luottotappiovarauksen suuruus arvioidaan saamiskohtaisesti.</t>
  </si>
  <si>
    <t>Varaukset 1.1.2018</t>
  </si>
  <si>
    <t>Varaukset 31.12.2018</t>
  </si>
  <si>
    <t>Laskennallisten verosaamisten ja -velkojen muutos tilikauden 2018 aikana</t>
  </si>
  <si>
    <t>Hankintameno 1.1.2018</t>
  </si>
  <si>
    <t>Hankintameno 31.12.2018</t>
  </si>
  <si>
    <t>Kertyneet poistot ja arvonalentumiset 1.1.2018</t>
  </si>
  <si>
    <t>Kertyneet poistot ja arvonalentumiset 31.12.2018</t>
  </si>
  <si>
    <t>Kirjanpitoarvo 31.12.2018</t>
  </si>
  <si>
    <t>Net loans include non-euro intragroup loans and deposits given by the parent company.</t>
  </si>
  <si>
    <t>Nettovelat sisältävät emoyhtiön antamat ei-euromääräiset sisäiset lainat ja talletukset.</t>
  </si>
  <si>
    <t>Wärtsilä hajauttaa korkoriskejään ottamalla sekä kiinteä- että vaihtuvakorkoista velkaa. Kiinteäkorkoisen velan suhde koko velkasalkkuun saa vaihdella 30 ja 70 prosentin välillä. Hallitus on antanut valtuutuksen väliaikaisesti kasvattaa kiinteäkorkoisten lainojen osuutta 100%:iin, ja valtuutus on voimassa vuoden 2019 loppuun asti.</t>
  </si>
  <si>
    <t>Tulos/osake on vertailukauden osalta oikaistu vastaamaan uutta osakemäärää.</t>
  </si>
  <si>
    <t>Lisätietoja rahoitusveloista esitetään liitetiedossa 26. Rahoitusvelat.</t>
  </si>
  <si>
    <t>Pitkäaikaisten lainojen korkokulut lasketaan 31.12.2018 vallitsevien keskimääräisten korkojen perusteella. Rahoitusvelkojen käyvät arvot esitetään liitetiedossa 16. Rahoitusvarat ja -velat arvostusryhmittäin.</t>
  </si>
  <si>
    <t>Konsernissa käytetyt valuuttasuojausinstrumentit ja näiden nimellisarvot on eritelty liitetiedossa 28. Johdannaisinstrumentit.</t>
  </si>
  <si>
    <t>Muuta lainoihin liittyvää tietoa annetaan liitetiedoissa 16. Rahoitusvarat ja -velat arvostusryhmittäin ja 26. Rahoitusvelat.</t>
  </si>
  <si>
    <t>Wärtsilä varmistaa aina riittävän likviditeetin tehokkaalla kassanhallinnalla sekä riittävillä vahvistetuilla ja vahvistamattomilla luottolimiiteillä. Jälleenrahoitusriskiä hallitaan tasapainoisella ja riittävän pitkäkestoista lainaa sisältävällä portfoliolla.</t>
  </si>
  <si>
    <t>Jaksotettuun hankintamenoon tehtyihin sijoituksiin liittyvät odotetut luottotappiot arvioidaan ennakoivasti neljännesvuosittain perustuen sijoitusten eräpäivään ja vastapuoliriskiin. 31.12.2018 odotettu luottotappio ei ollut merkittävä.</t>
  </si>
  <si>
    <t>1.1.2018</t>
  </si>
  <si>
    <t>Käyvän arvon ja kirja-arvon ero 1.1.2017</t>
  </si>
  <si>
    <t>Arvonmuutosrahasto 1.1.2017</t>
  </si>
  <si>
    <t>Arvonmuutosrahasto 31.12.2018</t>
  </si>
  <si>
    <t>Velvoitteiden ja varojen arvo 1.1.2017</t>
  </si>
  <si>
    <t>Velvoitteiden ja varojen arvo 31.12.2017</t>
  </si>
  <si>
    <t>Velvoitteiden ja varojen arvo 1.1.2018</t>
  </si>
  <si>
    <t>Velvoitteiden ja varojen arvo 31.12.2018</t>
  </si>
  <si>
    <t>Asiakassopimuksista johtuvia myyntituottoja kirjataan sekä ajan kuluessa että yhtenä ajankohtana seuraaviin tulotyyppeihin jaoteltuna.</t>
  </si>
  <si>
    <t>Liikevaihto tulotyypeittäin</t>
  </si>
  <si>
    <t>Tuotteet</t>
  </si>
  <si>
    <t>Tuotteet ja palvelut</t>
  </si>
  <si>
    <t>Projektit</t>
  </si>
  <si>
    <t>Pitkäaikaiset sopimukset</t>
  </si>
  <si>
    <t>Suoritevelvoitteiden täyttämisen ajoittuminen</t>
  </si>
  <si>
    <t>Yhtenä ajankohtana</t>
  </si>
  <si>
    <t>Ajan kuluessa</t>
  </si>
  <si>
    <t>Tuotemyynti pitää sisällään varaosien ja standardilaitteiden myynnin. Näiden kohdalla myyntituotot tuloutetaan yhtenä ajankohtana, kun tuotteiden määräysvalta on siirtynyt asiakkaalle, tyypillisesti tuotteiden toimitushetkellä.</t>
  </si>
  <si>
    <t>Tuotteet ja palvelut -tulotyyppi pitää sisällään lyhytaikaisen kenttähuoltotyön, eli palvelun ja laitteen yhdistelmän toimituksen. Tuloutus tapahtuu yhtenä ajankohtana, kun palvelu on suoritettu.</t>
  </si>
  <si>
    <t>Projektit sisältävät lyhyt- ja pitkäaikaisia projekteja. Sopimusehdoista ja projektin kestosta riippuen tuloutus tapahtuu joko yhtenä ajankohtana tai ajan kuluessa. Tuotot pitkäaikaisista projekteista, kuten pitkäaikaishankkeista, integroiduista ratkaisuista, laivan suunnitteluista ja voimalaratkaisuista, tuloutetaan ajan kuluessa. Tuotot räätälöidyistä tuotetoimituksista tuloutetaan yhtenä ajankohtana.</t>
  </si>
  <si>
    <t>Pitkäaikaiset sopimukset sisältävät pitkäaikaiset käyttö- ja huoltosopimukset, jotka tuloutetaan ajan kuluessa.</t>
  </si>
  <si>
    <t>4. Myyntituottojen jaottelu</t>
  </si>
  <si>
    <t>Muut uudelleenjärjestelyihin liittyvät kulut</t>
  </si>
  <si>
    <t>Yrityshankintoihin liittyvät kulut</t>
  </si>
  <si>
    <t>Vertailukausien 2017 lukuja on oikaistu huoltotoimintojen sisäisestä siirrosta johtuen.</t>
  </si>
  <si>
    <t>Siffrorna för jämförelseperioder i 2017 har justerats till följd av en intern överföring av vissa serviceaktiviteter.</t>
  </si>
  <si>
    <t>Konsernin tuloslaskelmaan on 2018 kirjattu 1 milj. euron (4) alaskirjaus liittyen vanhentuneeseen vaihto-omaisuuteen. Yrityshankinnoista johtuva vaihto-omaisuuden kasvu on 8 milj. euroa (1).</t>
  </si>
  <si>
    <t>Wärtsilä 1.1.</t>
  </si>
  <si>
    <t>Muutokset valuuttakursseissa</t>
  </si>
  <si>
    <t>Diskonttauskorkona käytetään Wärtsilän määrittelemää painotettua pääomakustannusta ennen veroja (WACC). WACC:n osatekijät ovat riskitön korko, markkinariskipreemio, teollisuuskohtainen beta, lainakustannus sekä oman ja vieraan pääoman suhde. Vuoden 2018 WACC:ia laskettaessa on huomioitu, että yleinen korkokanta on laskenut. Wärtsilä on käyttänyt 8,9%:n WACC:a (9,4) laskelmissaan.</t>
  </si>
  <si>
    <t>kasvu yli 20 prosenttiyksikköä</t>
  </si>
  <si>
    <t>lasku yli 68 prosenttiyksikköä</t>
  </si>
  <si>
    <t>Konserni soveltaa suojauslaskentaa valuuttatermiineihin merkittävin osin. Lisätietoja esitetään liitetiedossa 31. Rahoitusriskit.</t>
  </si>
  <si>
    <t>** Markkina-arvoltaan negatiivisten johdannaisten arvostus eräpäivän mukaan. Sopimusten mukaiset nimellisarvot esitetään liitteessä 28. Johdannaisinstrumentit.</t>
  </si>
  <si>
    <t>* 128 milj. euroa (122) rahoista ja pankkisaamisista on maissa, joissa kotiuttamista on rajoitettu paikallisella lainsäädännöllä, eikä raha näin ollen ollut välittömästi emoyhtiön käytettävissä.</t>
  </si>
  <si>
    <t>Transas on kansainvälisesti johtava merenkulun navigointiratkaisujen toimittaja, jonka valikoima sisältää täydellisiä komentosiltaratkaisuja, digituotteita ja karttoja. Yritys on markkinajohtaja myös merenkulun simulointi- ja koulutuspalveluissa, laivaliikenteen ohjauksessa, valvonnassa ja tukipalveluissa.</t>
  </si>
  <si>
    <t>Toukokuussa Wärtsilä hankki 100% Transasista, jonka pääkonttori sijaitsee Iso-Britanniassa.</t>
  </si>
  <si>
    <t>Transas-konserni</t>
  </si>
  <si>
    <t>Alla olevissa taulukoissa on esitetty tiivistetysti alustavat määrät Transasista maksetusta vastikkeesta, yrityshankinnan rahavirtavaikutuksesta sekä Wärtsilälle hankittujen varojen ja vastattaviksi otettujen velkojen arvoista hankintahetkellä.</t>
  </si>
  <si>
    <t>Jos yrityshankinta olisi toteutunut 1.1.2018, olisi konsernin liikevaihto ollut johdon arvioiden mukaan 5.213 milj. euroa. Hankinnan vaikutus konsernin liiketulokseen ei olisi ollut merkittävä. Liikevaihtoa ja liiketulosta määrittäessä johto arvioi, että käypien arvojen oikaisut hankintapäivänä olisivat samat, jos hankinta olisi toteutunut 1.1.2018.</t>
  </si>
  <si>
    <t>Helmikuussa Wärtsilä hankki 100% Trident B.V:stä ja LOCK-N-STITCH Inc.:istä. Lokakuussa Wärtsilä hankki 100% Burriel Navarro, S.L:stä.</t>
  </si>
  <si>
    <t>In February, Wärtsilä acquired 100% of Trident B.V. and LOCK-N-STITCH Inc. In October, Wärtsilä acquired 100% of Burriel Navarro, S.L.</t>
  </si>
  <si>
    <t>Trident B.V. on hollantilainen, veden alla tapahtuvaan laivojen huolto-, tarkastus- ja korjauspalveluihin erikoistunut yritys. Yrityshankinnan avulla Wärtsilä pystyy rakentamaan omaa osaamistaan ja hyödyntämään palvelutuotteidensa synergioita vahvistaen näin markkina-asemaansa.</t>
  </si>
  <si>
    <t>Trident B.V. is a Netherland based company specialised in underwater ship maintenance, inspection, and repair services. With this acquisition, Wärtsilä builds in-house competence, captures the full potential of services’ product synergies, and strengthens its position in the market.</t>
  </si>
  <si>
    <t>LOCK-N-STITCH Inc. is an American engineering company serving customers within the marine and energy sectors as well as other industries. It specialises in cast iron repairs. The acquisition strengthens Wärtsilä’s service portfolio for customers operating multiple brands.</t>
  </si>
  <si>
    <t>Burriel Navarro, S.L is a company operating in underwater services in the main ports of Spain. The acquisition supports the growth of Wärtsilä’s underwater services and expands the company’s local presence in the European market.</t>
  </si>
  <si>
    <t>Hankittujen aineettomien hyödykkeiden alustava käypä arvo hankintahetkillä (mukaan lukien teknologia, asiakassuhteet ja tavaramerkit) on yhteensä 10 milj. euroa. Lyhytaikaisten myyntisaamisten ja muiden saamisten käypä arvo on noin 6 milj. euroa. Myyntisaamisten käypään arvoon ei sisälly merkittävää riskiä.</t>
  </si>
  <si>
    <t>13 milj. euron alustava liikearvo heijastaa vedenalaisten palvelujen osaamisen ja asiantuntemuksen arvoa.</t>
  </si>
  <si>
    <t>The preliminary goodwill of EUR 13 million reflects the value of know-how and expertise in advanced underwater services.</t>
  </si>
  <si>
    <t>Jos yrityshankinnat olisivat toteutuneet 1.1.2018, olisi konsernin liikevaihto ollut johdon arvioiden mukaan 5.176 milj. euroa. Hankintojen vaikutus konsernin liiketulokseen ei olisi ollut merkittävä. Liikevaihtoa ja liiketulosta määrittäessä johto arvioi, että käypien arvojen oikaisut hankintapäivinä olisivat samat, jos hankinnat olisivat toteutuneet 1.1.2018.</t>
  </si>
  <si>
    <t xml:space="preserve">CSSC Wärtsilä Engine (Shanghai) Co., Ltd -yhtiö valmistaa keskikokoisia ja suuria keskinopeita dieselmoottoreita ja monipolttoainemoottoreita Shanghaissa Linganganissa. Wärtsilä Hyundai Engine Company Ltd valmistaa monipolttoainemoottoreita LNG-aluksiin Mokpossa, Etelä-Koreassa. Wärtsilä Qiyao Diesel Company Ltd. valmistaa merenkulun apumoottoreita Shanghaissa, Kiinassa. CSSC Wärtsilä Electrical &amp; Automation Co. Ltd on fokusoitunut tuottamaan kehittyneitä sähkö -ja automaatioratkaisuja risteilyalalle. </t>
  </si>
  <si>
    <t>Wärtsilällä on etuuspohjaisia eläkejärjestelyjä pääasiassa Euroopassa ja Aasiassa. Merkittävimmät niistä sijaitsevat Sveitsissä, Saksassa, Isossa-Britanniassa ja Ruotsissa. Sveitsin etuuspohjaisen eläkejärjestelyn osuus konsernin velvoitteiden kokonaismäärästä on 31% ja varojen kokonaismäärästä 57%. Suurin osa järjestelyistä tarjoaa työntekijöille elinikäisen eläkkeen tavanomaisen eläkeiän saavuttamisen jälkeen, mutta on myös järjestelyjä, jotka tarjoavat kertakorvauksen työntekijän saavuttaessa eläkeiän. Suurin osa etuuspohjaisista eläkejärjestelyistä on eläkesäätiöiden hallussa, ja niiden varat eivät sisälly konsernin varoihin. Järjestelyn varat on yleensä sijoitettu kunkin eläkesäätion hallituksen hyväksymiin kohteisiin, mutta joissain tapauksissa niitä hallinnoivat kokonaisuudessaan vakuutusyhtiöt. Konserniyhtiöiden maksut eläkesäätiöille suoritetaan kunkin maan lainsäädännön ja käytännön mukaisesti. Valtuutetut aktuaarit ovat kussakin maassa suorittaneet etuuspohjaisiin eläkejärjestelyihin liittyvät vakuutuslaskelmat.</t>
  </si>
  <si>
    <t>Wärtsilällä on Sveitsissä paikallisten eläkelakien ja -säännösten mukainen etuuspohjainen eläkejärjestely, johon osallistuville maksetaan eläkettä eläkkeelle jäämisen jälkeen. Eläke-etuus määräytyy kertyneen eläkepääoman mukaan ja se koostuu järjestelyyn työssäoloaikana maksetuista pääomista sekä niihin liittyvistä korkoeristä. Järjestelyä hoitaa eläkerahasto, jota johtaa yrityksen ulkopuolinen säätiön hallitus. 
Sekä työntekijä että työnantaja maksavat eläkejärjestelyyn säätiön säännöissä määritellyn prosenttiosuuden palkasta. Työnantajan maksama eläkemaksu vaihtelee työntekijän iän mukaan ja se kattaa keskimäärin kaksi kolmasosaa kokonaismaksusta. 
Eläkesäätiön investointistrategiasta vastaa säätiön hallitus ja varat sijoitetaan tämän strategian sekä paikallisen lainsäädännön ja käytännön mukaisesti. Järjestelyn muita riskejä valitun investointistrategian lisäksi ovat pidennys eliniän odotteessa sekä ennenaikainen kuolema tai vammautuminen. Eläkejärjestelyt on vakuutettu kuoleman ja vammautumisriskin osalta 31.12.2018. Inflaatiosta johtuva mahdollinen maksettavien eläkkeiden nousu on säätiön hallituksen harkintavallassa, kun maksettavan eläkkeen määrä ylittää lainsäädännössä määritetyn minimieläkkeen.</t>
  </si>
  <si>
    <t>31.12.2018 etuuspohjaisten velvoitteiden duraation painotettu keskiarvo oli 12 vuotta. Konserni odottaa maksavansa 5 milj. euroa etuuspohjaisiin järjestelyihin seuraavan tilikauden aikana.</t>
  </si>
  <si>
    <t>-33</t>
  </si>
  <si>
    <t>41</t>
  </si>
  <si>
    <t>9</t>
  </si>
  <si>
    <t>-8</t>
  </si>
  <si>
    <t>25</t>
  </si>
  <si>
    <t>Hankittujen aineettomien hyödykkeiden alustava käypä arvo hankintahetkellä (mukaan lukien teknologia, asiakassuhteet ja tavaramerkit) on yhteensä 55 milj. euroa. Lyhytaikaisten myyntisaamisten ja muiden saamisten käypä arvo on noin 50 milj. euroa. Myyntisaamisten käypään arvoon ei sisälly merkittävää riskiä.</t>
  </si>
  <si>
    <t>113 milj. euron alustava liikearvo heijastaa osaamisen ja asiantuntemuksen arvoa digitaalisissa merenkulun ratkaisuissa ja palveluissa. Yrityshankinnalla Wärtsilä ottaa merkittävän askeleen pyrkimyksessään kehittää kestävää yhteiskuntaa älykkäällä teknologialla. Transas tukee myös lupausta uudistaa alaa disruptiivisesti: luomalla ekosysteemin, jossa digiyhteydet läpäisevät koko toimitusketjun turvallisilla ja älykkäillä pilvipohjaisilla sovelluksilla.</t>
  </si>
  <si>
    <t>The preliminary goodwill of EUR 113 million reflects the value of know-how and expertise in digital marine solutions and services. The acquisition takes Wärtsilä a significant step closer to achieving its mission of enabling sustainable societies with smart technologies. It will also speed delivery on the company’s promise to disrupt the industry by establishing an ecosystem that is digitally connected across the entire supply chain, through applications that are secure, smart and cloud-based.</t>
  </si>
  <si>
    <t>Osakepääoman alentaminen osakkuus- ja yhteisyrityksissä</t>
  </si>
  <si>
    <t>Nettovelan täsmäytys</t>
  </si>
  <si>
    <t>Korolliset velat yhteensä</t>
  </si>
  <si>
    <t>Korolliset saamiset yhteensä</t>
  </si>
  <si>
    <t>Nettovelka 31.12.2018</t>
  </si>
  <si>
    <t>Nettovelka 31.12.2017</t>
  </si>
  <si>
    <t>Korolliset nettovelat yhteensä</t>
  </si>
  <si>
    <t>määräysvallattomien omistajien sijoitukset myydyissä tytäryhtiöissä</t>
  </si>
  <si>
    <t>• Vahvistettuja luottolimiittisopimuksia määrältään 640 milj. euroa (640).</t>
  </si>
  <si>
    <t>• Suomalaisia yritystodistusohjelmia määrältään 800 milj. euroa (800).</t>
  </si>
  <si>
    <t>RUB</t>
  </si>
  <si>
    <t>Venäjän rupla</t>
  </si>
  <si>
    <t>Vuonna 2018 67% (69) myynnistä ja 65% (63) operatiivisista kuluista oli euromääräisiä, ja 21% (18) myynnistä ja 8% (7) operatiivisista kuluista oli Yhdysvaltain dollareita. Loppu jakautui usean valuutan kesken. Konsernin tulokseen ja kilpailukykyyn vaikuttavat välillisesti myös pääkilpailijoiden kotivaluutat: USD, GBP, JPY sekä KRW.</t>
  </si>
  <si>
    <t>Valuuttapositioita seurataan liiketoimintojen tasolla ja ne yhdistetään ja suojataan konsernitasolla. Kaikki merkittävät kiinteähintaiset osto- ja myyntisopimukset suojataan. Tulevat kaupalliset avoimet valuuttayli- ja alijäämät arvioidaan liiketoiminnoittain ja suojausten tasosta päättää johtokunta. IFRS 9:n mukaista suojauslaskentaa sovelletaan valtaosaan edellä mainittujen erien suojauksista. Suojaukset kattavat aikajakson, joka mahdollistaa myyntihintojen ja kustannusten sopeuttamisen uudella valuuttakurssitasolla. Suojausten pituudet vaihtelevat konserniyhtiöillä kuukaudesta kahteen vuoteen. Konserni suojaa myös taseessa olevat valuuttamääräiset erät kuten valuuttamääräiset myyntisaamiset ja ostovelat. Mikäli tilauksia peruutetaan, voi se johtaa tehottomaan valuuttasuojaukseen.</t>
  </si>
  <si>
    <t>Pumppuliiketoiminnan myynti</t>
  </si>
  <si>
    <t>Muut myynnit</t>
  </si>
  <si>
    <t>20.10.2018 Wärtsilä myi enemmistöosuutensa Wärtsilä Yuchai Engine Co. Ltd:stä. Kauppasumma ja kaupan vaikutus tilikauden tulokseen eivät olleet merkittäviä.</t>
  </si>
  <si>
    <t>Muihin laajan tuloksen eriin liittyvät tuloverot esitetään Laajassa tuloslaskelmassa. Laskennallisten verosaamisten ja -velkojen muutokset esitetään liitetiedossa 22. Laskennalliset verot.</t>
  </si>
  <si>
    <t xml:space="preserve">31.12.2018 konsernilla oli kirjaamatta 63 milj. euroa (47) laskennallista verosaamista, koska niiden toteutumiseen liittyy epävarmuutta. Pääosa kirjaamattomista laskennallisista verosaamisista liittyy kertyneisiin verotuksellisiin tappioihin. Näistä 18 milj. euroa (8) vanhenee seuraavien viiden vuoden aikana ja loput myöhemmin tai ei koskaan. Pääosa verotuksellisista tappioista, joihin liittyen on kirjattu laskennallista verosaamista, eivät vanhene koskaan. </t>
  </si>
  <si>
    <t>The preliminary fair values of the acquired identifiable intangible assets at the date of the acquisition (including technology, customer relations, and trade marks) amounted to EUR 55 million. The fair value of the current trade receivables and other receivables is approximately EUR 50 million. The fair value of the trade receivables does not include any significant risk.</t>
  </si>
  <si>
    <t>Vuonna 2018 konsernin tulokseen sisältyy yrityshankinnasta aiheutuvia kustannuksia 3 milj. euroa, jotka liittyvät ulkopuolisille maksettuihin oikeudellisiin palkkioihin sekä yrityshankinnan kohteen tarkastamiseen (due diligence). Kustannukset sisältyvät konsernin tuloslaskelmassa liiketoiminnan muihin kuluihin.</t>
  </si>
  <si>
    <t>During 2018 the Group incurred acquisition-related costs of EUR 3 million related to external legal fees and due diligence costs. The costs have been included in the other operating expenses in the consolidated statement of income.</t>
  </si>
  <si>
    <t>If the acquisition had occurred on 1 January 2018, management estimates that the consolidated net sales would have been EUR 5,213 million. The impact in the consolidated operating result would not have been significant. In determining these amounts, management has assumed that the fair value adjustments, which arose on the date of the acquisition would have been the same if the acquisition had occurred on 1 January 2018.</t>
  </si>
  <si>
    <t>The preliminary fair values of acquired identifiable intangible assets at the dates of the acquisitions (including technology, customer relations, and trade marks) amounted to EUR 10 million. The fair value of current trade receivables and other receivables is approximately EUR 6 million. The fair value of the trade receivables does not include any significant risk.</t>
  </si>
  <si>
    <t>During 2018, the acquisition-related costs the Group incurred related to external legal fees and due diligence costs were insignificant. The costs have been included in the other operating expenses in the consolidated statement of income.</t>
  </si>
  <si>
    <t xml:space="preserve">Vuonna 2018 konsernin tulokseen ei sisälly merkittäviä yrityshankinnoista aiheutuvia kustannuksia. </t>
  </si>
  <si>
    <t>If the acquisitions had occurred on 1 January 2018, management estimates that the consolidated net sales would have been EUR 5,176 million. The impact in the consolidated operating result would not have been significant. In determining these amounts, management has assumed that the fair value adjustments, which arose on the dates of the acquisitions would have been the same if the acquisitions had occurred on 1 January 2018.</t>
  </si>
  <si>
    <t>The preliminary fair values of the acquired identifiable intangible assets at the date of the acquisition (including trademark and tehcnology related IP) amounted to EUR 42 million. The fair value of the current trade receivables and other receivables is approximately EUR 5 million. The fair value of the trade receivables does not include any significant risk.</t>
  </si>
  <si>
    <t>If the Greensmith acquisition had occurred on 1 January 2017, management estimates that the consolidated net sales would have been EUR 4,928 million. The impact in the consolidated operating result would not have been significant. In determining these amounts, management has assumed that the fair value adjustments, which arose on the date of the acquisition would have been the same if the acquisition had occurred on 1 January 2017.</t>
  </si>
  <si>
    <t>The preliminary fair values of the acquired identifiable intangible assets at the dates of acquisitions (including customer relations, technology and trade marks) amounted to EUR 17 million. The fair value of the current trade receivables and other receivables is approximately EUR 14 million. The fair value of the trade receivables does not include any significant risk.</t>
  </si>
  <si>
    <t>The preliminary goodwill of EUR 37 million reflects the value of know-how and expertise in turnkey biogas upgrading solutions and more intelligent vessel navigation. Wärtsilä foresees that the acquisition of Puregas Solutions Ab will strengthen and complement its position in the biogas liquefaction market as well as improve Wärtsilä's offering and reach in the gas value chain. The acquisition of Guidance Navigation Holdings Limited enhances Wärtsilä’s capabilities in the areas of situational awareness and near-field measurement, both essential for more intelligent vessel navigation.</t>
  </si>
  <si>
    <t>If the other acquisitions had occurred on 1 January 2017, management estimates that the consolidated net sales would have been EUR 4,940 million. The impact in the consolidated operating result would not have been significant. In determining these amounts, management has assumed that the fair value adjustments, which arose on the dates of the acquisitions would have been the same if the acquisitions had occurred on 1 January 2017.</t>
  </si>
  <si>
    <t>Tytäryhtiöosakkeiden myynnit</t>
  </si>
  <si>
    <t>Total restated comprehensive income for the financial period</t>
  </si>
  <si>
    <t>Tilikauden oikaistu laaja tulos yhteensä</t>
  </si>
  <si>
    <t>Lisätietoja osakkuus- ja yhteisyrityksistä esitetään liitetiedossa 15. Sijoitukset osakkuus- ja yhteisyrityksiin.</t>
  </si>
  <si>
    <t>Hallituksen jäsenet 31.12.2018</t>
  </si>
  <si>
    <t>Lisäksi konsernilla oli kuparifutuureja 264 tonnia (254), joiden arvo on 1 milj. euroa (2).</t>
  </si>
  <si>
    <t>Eräillä tytäryhtiöillä maissa, joiden valuutat eivät ole vapaasti vaihdettavia, kuten Argentiinassa, Brasiliassa ja Indonesiassa, on suojaamattomia EUR tai USD määräisiä konsernin sisäisiä lainoja. Näiden lainojen kokonaismäärä on 178 milj. euroa (132).</t>
  </si>
  <si>
    <t>MXP</t>
  </si>
  <si>
    <t>2023-</t>
  </si>
  <si>
    <t>Korollinen velka oli vuoden 2018 lopussa 823 milj. euroa (619). Keskikorko oli 1,0% (1,3) ja keskimääräinen korkosidonnaisuusaika 27 kuukautta (23). Vuoden 2018 lopussa yhden prosenttiyksikön suuruinen yhdensuuntainen lasku/nousu korkokäyrässä olisi aiheuttanut 24 milj. euron (13) lisäyksen/vähennyksen nettovelkasalkun arvoon (sisältäen johdannaiset).</t>
  </si>
  <si>
    <t>Yhden prosenttiyksikön suuruinen korkotason muutos aiheuttaisi 1 milj. euron (2) muutoksen velkasalkun seuraavan vuoden korkokuluihin (sisältäen johdannaiset).</t>
  </si>
  <si>
    <t>Pitkäaikaisten lainojen keskimääräinen takaisinmaksuaika on 49 kuukautta (44) ja vahvistettujen luottolimiittien keskimääräinen takaisinmaksuaika on 31 kuukautta (28). Lisätietoa liitetiedossa 26. Rahoitusvelat.</t>
  </si>
  <si>
    <t>Konsernin rahavarat olivat vuoden lopussa 487 milj. euroa (379), käyttämättömiä vahvistettuja luottolimiittisopimuksia oli 640 milj. euroa (640). 31.12.2018 ja 31.12.2017 yritystodistuksia ei ollut käytössä.</t>
  </si>
  <si>
    <t>Vuonna 2018 alaskirjausten tulosvaikutus oli 1 milj. euroa (-9).</t>
  </si>
  <si>
    <t>Yrityshankinnat ja yritysmyynnit</t>
  </si>
  <si>
    <t>Wärtsilän osakkeella ei ole nimellisarvoa. Wärtsilällä on yksi osakelaji. Kaikilla osakkeilla on yksi ääni yhtiökokouksessa ja niillä on yhtälainen oikeus osingonjakoon.</t>
  </si>
  <si>
    <t>Tilikaudella aktivoitiin tuotekehitysmenoja 30 milj. euroa (16). Niiden kirjanpitoarvo oli 91 milj. euroa (73).
Hankintamenojen allokointeihin liittyvät aineettomien hyödykkeiden poistot olivat 43 milj. euroa (36) ja niiden kirjanpitoarvo oli 248 milj. euroa (227).</t>
  </si>
  <si>
    <t>Toimitusjohtaja sekä hallituksen ja johtokunnan jäsenet omistivat vuoden lopussa 304.439 (97.605) Wärtsilän osaketta.</t>
  </si>
  <si>
    <t>Vähennysten ja yritysmyyntien kertyneet poistot</t>
  </si>
  <si>
    <t>* Lisätietoja osakkeiden lukumäärästä esitetään liitetiedossa 24. Oma pääoma.</t>
  </si>
  <si>
    <t>Burriel Navarro S.L.</t>
  </si>
  <si>
    <t>Lisätietoja johdon palkitsemisesta liitetiedossa 30. Lähipiiritapahtumat.</t>
  </si>
  <si>
    <t>Vuonna 2018 Wärtsilä investoi 1 milj. euroa yhteisyritykseen CSSC Wärtsilä Electrical &amp; Automation Co., Ltd ja sai 13 milj. euron pääomanpalautuksen Koreassa sijatsevasta Wärtsilä Hyundai Engine Co. Ltd-yhtiöstä.</t>
  </si>
  <si>
    <t>* Sisältää henkilöstökustannuksiin liittyviä verosaamisia Brasiliassa 9 milj. euroa (10), joita ei välttämättä pystytä hyödyntämään vuoden kuluessa.</t>
  </si>
  <si>
    <t>Tilikauden tuloksen ja muiden laajan tuloksen erien muuntaminen eri kursseilla laajassa tuloslaskelmassa ja taseessa aiheuttaa taseessa omaan pääomaan kirjattavan muuntoeron. Ulkomaisten yritysten hankintamenon eliminoinnista sekä hankinnan jälkeen kertyneiden oman pääoman erien muuntamisesta syntyvät muuntoerot esitetään myös omassa pääomassa. Lisäksi muuntoeroissa esitetään ulkomaisiin nettosijoituskohteisiin rinnastettavista lainoista aiheutuvat kurssierot. Muuntoerojen muutokset kirjataan muihin laajan tuloksen eriin.</t>
  </si>
  <si>
    <t>LOCK-N-STITCH Inc.</t>
  </si>
  <si>
    <t>Trident Italia Srl</t>
  </si>
  <si>
    <t>Trident Las Palmas S.L.</t>
  </si>
  <si>
    <t>Trident B.V.</t>
  </si>
  <si>
    <t>Osakkeen arvon kehitykseen perustuva palkkio*</t>
  </si>
  <si>
    <t>* Osakkeen arvon kehitykseen perustuvat palkkiot arvostetaan käypään arvoon raportointipäivänä. Wärtsilän osakkeen vuoden 2018 hintakehityksen seurauksena vaikutus tilikauden tulokseen on positiivinen.</t>
  </si>
  <si>
    <t>Transas Americas Inc.</t>
  </si>
  <si>
    <t xml:space="preserve">Transas Benelux B.V. </t>
  </si>
  <si>
    <t>Irlanti</t>
  </si>
  <si>
    <t>Transas Investments Unlimited</t>
  </si>
  <si>
    <t>Transas Marine (Shanghai) Co., Ltd.</t>
  </si>
  <si>
    <t>Transas Marine GmbH</t>
  </si>
  <si>
    <t>Transas Marine International (TMI) AB</t>
  </si>
  <si>
    <t>Transas Marine Poland sp. z.o.o.</t>
  </si>
  <si>
    <t>Transas Mediterranean SAS</t>
  </si>
  <si>
    <t xml:space="preserve">Transas Middle East DMCEST </t>
  </si>
  <si>
    <t>Transas Newbuilding Limited</t>
  </si>
  <si>
    <t xml:space="preserve">Transas Navigator Ltd. </t>
  </si>
  <si>
    <t>Wärtsilä Burkina Faso</t>
  </si>
  <si>
    <t>Burkina Faso</t>
  </si>
  <si>
    <t>Wärtsilä Digital Technologies, JSC</t>
  </si>
  <si>
    <t>Wärtsilä Energy Mauritanie SAU</t>
  </si>
  <si>
    <t>Wärtsilä Mauritanie SA</t>
  </si>
  <si>
    <t>Wärtsilä Muscat LLC</t>
  </si>
  <si>
    <t>Oman</t>
  </si>
  <si>
    <t>Wärtsilä Voyage Limited</t>
  </si>
  <si>
    <t>Wärtsilä Voyage UK Limited</t>
  </si>
  <si>
    <t>Wärtsilä Voyage Pacific Pte Ltd</t>
  </si>
  <si>
    <t xml:space="preserve">Muut oikaisut, joilla ei ole rahavirtavaikutusta </t>
  </si>
  <si>
    <t>Lisätietoja osakepääomasta, ylikurssirahastosta, muuntoeroista ja arvonmuutosrahastosta esitetään liitetiedossa 24. Oma pääoma.</t>
  </si>
  <si>
    <t>Liikearvon testauksen tuloksena liikearvontestaustappiota ei tunnistettu konsernin RTY:lle tilikausille, jotka päättyivät 31.12.2018 ja 31.12.2017. Konsernin RTY:n kerrytettävissä oleva rahamäärä ylitti niiden kirjanpitoarvon merkittävästi.</t>
  </si>
  <si>
    <t>CSSC Wärtsilä Electrical &amp; Automation Co., Ltd.</t>
  </si>
  <si>
    <t>Jaksotetut kustannukset</t>
  </si>
  <si>
    <t>Jaksotetut kulut</t>
  </si>
  <si>
    <t>Trade receivables related to contracts with customers are non-interest-bearing receivables. Trade receivables have decreased during 2018 through collection of some sizable overdue receivables.
Contract assets primarily relate to the group’s right to consideration for transferred goods or services, but which is not yet billed at the reporting date. The contract assets are transferred to receivables when the rights become unconditional. 
The contract liabilities mainly relate to the advance consideration received from customers for contracts, but for which the corresponding good or service has not yet been transferred.
The contract assets and liabilities arise from long-term service agreements and projects recognised over time such as gas solutions construction contracts, integrated solutions projects, ship design, and energy solutions turn key contracts. The increase in contract assets in 2018 is the result of usual business-related variation mainly in Energy business projects as well as the impact of new acquisitions amounting to EUR 15 million. In addition, the accrued revenue has increased in some larger long-term service agreements. The increase in contract liabilities in 2018 arises mainly from usual business-related variation in projects as well as the acquisition impact of EUR 1 million.</t>
  </si>
  <si>
    <t>Jaksotetut tuotot</t>
  </si>
  <si>
    <t>Vuonna 2018 noteeraamattomien muiden osakkeiden hankintameno oli 16 milj. euroa (13), ja niiden markkina-arvo oli 16 milj. euroa (13).</t>
  </si>
  <si>
    <t>Tilikausilla 1.1.–31.12.2018 ja 1.1.–31.12.2017 Wärtsilällä ei ole ollut yksittäisiä merkittäviä asiakkaita eikä maita. Myynti Yhdysvaltoihin oli 14% (12) kokonaisliikevaihdosta.</t>
  </si>
  <si>
    <t>Vuoden 2018 aikana on rahavirtasuojausten käypien arvojen muutoksia kirjattu omaan pääomaan -14 milj. euroa (1). Omasta pääomasta on vuoden aikana kirjattu tuloslaskelmaan -8 milj. euroa (-36) myynnin tai ostojen oikaisuna. Vuonna 2018 rahavirtasuojausten tehoton osuus -2 milj. euroa (-15) on kirjattu rahoituseriin ja eritellään liitetiedossa 10. Rahoitustuotot ja -kulut.</t>
  </si>
  <si>
    <t>IFRS:n mukaista suojauslaskentaa on sovellettu 2.355 milj. euron (1.962) arvosta valuuttatermiineihin. Näiden termiinien johdosta viiden prosentin valuuttakurssimuutos aiheuttaisi noin 60 milj. euron (38) muutoksen konsernin omaan pääomaan. Koska kaikki merkittävät kiinteähintaiset osto- ja myyntisopimukset on suojattu, tuloksen herkkyys valuuttakurssimuutoksille ei ole merkittävä.</t>
  </si>
  <si>
    <t>Wärtsilällä on osakesijoituksia 13 milj. euroa (10) voimalaitosyhtiöihin, jotka sijaitsevat pääosin kehittyvissä maissa. Kyseisten yhtiöiden tuloskehitys on ollut hyvä ja vastannut odotuksia. Lisätietoja liitetiedossa 16. Rahoitusvarat ja -velat arvostusryhmittäin.</t>
  </si>
  <si>
    <t>0,48**</t>
  </si>
  <si>
    <t>284**</t>
  </si>
  <si>
    <t>73,7**</t>
  </si>
  <si>
    <t>Tilinpäätöspäivän jälkeen hallitus on esittänyt, että 31.12.2018 päättyneeltä tilikaudelta jaetaan osinkona 0,48 euroa osakkeelta. Näin osingonjako on yhteensä 284 milj. euroa. Jäljelle jäävä osa kertyneistä voittovaroista jätetään vapaaseen omaan pääomaan. Tilikauden 2017 voitosta jaettiin osinkona 0,46 euroa osakkeelta osingonjaon ollessa yhteensä 272 milj. euroa. Jäljelle jäänyt osa kertyneistä voittovaroista jätettiin yhtiön vapaaseen omaan pääomaan. Osinko/osake on vertailukauden osalta oikaistu vastaamaan uutta osakemäärää.</t>
  </si>
  <si>
    <t>Palkkoihin ja palkkioihin sisältyy varauksen purku vuosien 2016–2018 ja 2017–2019 tulospalkkiojärjestelmiin liittyen, yhteensä 21 milj. euroa (edellisenä vuonna lisäys 40). Varaus kirjataan käypään arvoon. Kyseiset tulospalkkiojärjestelmät perustuvat osakkeen markkina-arvon kehitykseen ennalta määrätyllä aikavälillä. Palkkiolle on asetettu yläraja ja se suoritetaan käteisenä ohjelman loputtua työssäoloehdon täyttyminen huomioiden. Johtoryhmän jäsenten tulee hankkia Wärtsilän osakkeita 50%:lla saamistaan nettobonuksista, kunnes omistus, jonka määrä vastaa arvoltaan henkilön perusvuosipalkkaa bruttona, on saavutettu.</t>
  </si>
  <si>
    <t>Kyseisissä tulospalkkiojärjestelmissä bonuksen suuruus perustuu osakkeen kolmen vuoden kurssikehitykseen. Pitkäaikaisen palkitsemisjärjestelmän bonusoikeuksien määrät ja kriteerit on oikaistu vastaamaan maksuttoman osakeannin vaikutuksia. Vuoden 2016–2018 ohjelmassa on 4.857.000 bonusoikeutta, vuoden 2017–2019 ohjelmassa 5.490.000 bonusoikeutta ja vuoden 2018–2020 4.845.000 bonusoikeutta. Vuoden 2016–2018 ohjelmassa lähtöhintana on 15,82 euroa, vuoden 2017–2019 ohjelmassa 16,19 euroa ja vuoden 2018–2020 ohjelmassa 22,58 euroa. Bonusohjelmissa huomioidaan 100% niiden juoksuaikana maksettavista osingoista. Vuoden 2016–2018 ohjelmassa maksettava bonus voi olla korkeintaan 4,61 euroa per bonusoikeus, vuoden 2017–2019 ohjelmassa 6,07 euroa per bonusoikeus ja vuoden 2018–2020 ohjelmassa 8,47 euroa per bonusoikeus.</t>
  </si>
  <si>
    <t>Myyntisaamiset ja sopimukseen perustuvat varat</t>
  </si>
  <si>
    <t>18. Sopimukseen perustuvat taseeseen merkityt määrät</t>
  </si>
  <si>
    <t>Tilikauden aikana tuloutetut myyntituotot, jotka olivat mukana sopimukseen perustuvissa veloissa 1.1.</t>
  </si>
  <si>
    <t>Keskeneräisiin projekteihin ja sopimuksiin liittyvät jäljellä olevat suoritevelvoitteet*</t>
  </si>
  <si>
    <t>Nettoskulderna innehåller av moderbolaget givna koncerninterna lån och depositioner, vilka är i annan valuta än euro.</t>
  </si>
  <si>
    <t>* Vuonna 2018 kurssieroihin sisältyi -2 milj. euroa (-15) rahavirtasuojausten tehotonta osuutta ja -5 milj. euroa (-7) kurssieroa suojaamattomista sisäisistä lainoista.</t>
  </si>
  <si>
    <t>1–3 vuotta</t>
  </si>
  <si>
    <t>3–5 vuotta</t>
  </si>
  <si>
    <t>* Kuten IFRS 15:n siirtymäsäännöt sallivat, jäljellä oleville täyttämättömille suoritevelvoitteille kohdistettua transaktiohintaa 31.12.2017 ei esitetä.</t>
  </si>
  <si>
    <t>Ylikurssirahasto on sidottua omaa pääomaa. Sitä voidaan alentaa noudattaen, mitä osakepääoman alentamisesta säädetään osakeyhtiölaissa. Osakepääomaa voidaan myös korottaa siirtämällä varoja ylikurssirahastosta.</t>
  </si>
  <si>
    <t>Vahvistetut luottolimiittisopimukset ja emoyhtiön pitkäaikaiset lainat sisältävät rahoituskovenantin (omavaraisuusaste). Omavaraisuusasteen odotetaan pysyvän selvästi rahoituskovenantin yläpuolella ennustettavissa olevalla ajanjaksolla.</t>
  </si>
  <si>
    <t>Yritys-
hankinnat</t>
  </si>
  <si>
    <t>Raha-
virrat</t>
  </si>
  <si>
    <t>Kirjanpito-
arvo 
1.1.2018</t>
  </si>
  <si>
    <t>Kirjanpito-
arvo 
31.12.2018</t>
  </si>
  <si>
    <t>Kirjanpito-
arvo 
1.1.2017</t>
  </si>
  <si>
    <t>Kirjanpito-
arvo 
31.12.2017</t>
  </si>
  <si>
    <t>Valuutta-
kurssimuu-
tokset</t>
  </si>
  <si>
    <t>Yritys-
hankinnat
ja yritys-
myynnit</t>
  </si>
  <si>
    <t>Valuuttatermiinit suojaavat transaktioriskiltä ja erääntyvät seuraavan 12 kuukauden (12) aikana. Valuuttatermiini on suljettu, kun rahavirrat samassa valuutassa samalla arvopäivällä kompensoivat toisiaan. Koronvaihtosopimukset ovat euromääräisiä ja niiden keskimääräinen juoksuaika on 48 kuukautta (18). Koron- ja valuutanvaihtosopimusten keskimääräinen juoksuaika on 54 kuukautta (40).</t>
  </si>
  <si>
    <t>Vuonna 2018 yhtiökokous valitsi Wärtsilä Oyj Abp:n tilintarkastajaksi tilintarkastysyhteisön PricewaterhouseCoopers Oy. PricewaterhouseCoopers Oy:n suorittamat muut kuin tilintarkastuspalvelut Wärtsilä-konsernin yhtiöille olivat yhteensä 288 tuhatta euroa. Palvelut koostuivat veroneuvonnasta (180 tuhatta euroa) ja muista palveluista (108 tuhatta euroa).</t>
  </si>
  <si>
    <t>Wärtsilä ilmoitti 30.1.2019 suunnitelmistaan mukauttaa toimintojaan ja resurssejaan kannattavuutensa ja kilpailukykynsä turvaamiseksi tulevaisuudessa. Konserninlaajuinen ohjelma painottaa pitkän aikavälin säästöjä ja asiakasarvon lisäämistä. Suunniteltuihin toimenpiteisiin sisältyy yhä kohdennetumpi myyntiprosessi, sopimuspohjaisen sekä ”as-a-service” liiketoimintamallin kehittäminen, kustannusrakenteen tarkastelu, sekä liiketoimintojen tarjooman ja organisaation optimointi. Ohjelman ennakoidaan johtavan noin 1.200 työpaikan vähentämiseen maailmanlaajuisesti. Vähennykset vaikuttavat henkilöstöön kaikissa liiketoiminnoissa ja tukitoiminnoissa. Näillä toimilla Wärtsilä pyrkii saavuttamaan noin 100 milj. euron vuotuiset säästöt. Säästöt toteutuvat asteittain vuoden 2019 toisella puoliskolla ja ne vaikuttavat täysimääräisesti vuoden 2020 loppuun mennessä. Uudelleenjärjestelyyn liittyvät kustannukset ovat arviolta noin 75 milj. euroa.</t>
  </si>
  <si>
    <t>Toimintasegmentti on jaettu kahteen toisiaan tukevaan markkina-alueeseen, Marine Solutions ja Energy Solutions, joita Services tukee. Wärtsilä tarjoaa edistyksellistä teknologiaa ja elinkaariratkaisuja merenkulku- ja energia-alan asiakkaille. Näitä teknologioita ja ratkaisuja sekä myyvät että toimittavat maailmanlaajuisesti samat Wärtsilä-yhtiöt. Tuotanto valmistaa tuotteita sekä Energy Solutions että Marine Solutions -markkina-alueille samoilla tuotantolinjoilla, mikä mahdollistaa synergiaedut tuotantoprosessissa ja tutkimus- ja tuotekehityksessä. Myös hankintatoiminto tukee kumpaakin markkina-aluetta ja Servicesiä. Liiketoimintamallin, integroitujen operaatioiden ja hallinnointijärjestelmän vuoksi konserni raportoidaan yhtenä segmenttinä. Paremman ymmärryksen mahdollistamiseksi eri markkina-alueiden kehityksestä ja suhdannevaihteluista Wärtsilä julkaisee liikevaihdon eriteltynä markkina-alueisiin sekä Servicesiin.</t>
  </si>
  <si>
    <t>LOCK-N-STITCH Inc. on amerikkalainen tekniikan alan yritys, joka palvelee asiakkaita meri- ja energiasektoreilla sekä muilla aloilla. Yritys on erikoistunut valurautakorjauksiin. Yrityshankinta vahvistaa Wärtsilän palveluportfoliota asiakkaille, joiden käytössä on useita tuotemerkkejä.</t>
  </si>
  <si>
    <t xml:space="preserve">31.10.2018 Wärtsilä myi pumppuliiketoimintansa pohjoismaiselle sijoitusyhtiölle Solix Groupille. Wärtsilä Pumps on kuulunut Wärtsilä Marine Solutions ‑organisaatioon siitä asti, kun yhtiö osti Hamworthyn vuonna 2012. Pumppuliiketoiminnan liikevaihto oli noin 50 milj. euroa vuonna 2017. Wärtsilä sai kaupasta 45 milj. euroa, jonka lisäksi konsernin taseeseen on kirjattu kauppahintasaatava 20 milj. euroa pitkäaikaisiin muihin saamisiin. Liiketoiminnan myynnistä on kirjattu 27 milj. euron myyntivoitto liiketoiminnan muihin tuottoihin perustuen alustavaan myyntivoittolaskelmaan. </t>
  </si>
  <si>
    <t>Oma pääoma/osake***</t>
  </si>
  <si>
    <t>Liitetiedot ovat osa tätä konsernitilinpäätöstä.</t>
  </si>
  <si>
    <t>Osakkuus- ja yhteisyritysten osuus muusta laajasta tuloksesta</t>
  </si>
  <si>
    <t>Muun laajan tuloksen erät</t>
  </si>
  <si>
    <t>* Pitkäaikaiset varat koostuvat liikearvosta, aineettomista ja aineellisista hyödykkeistä ja osuuksista osakkuus- ja yhteisyrityksissä.</t>
  </si>
  <si>
    <t>Burriel Navarro, S.L tekee veden alla tapahtuvaa huoltoa Espanjan keskeisissä satamissa. Yrityshankinta tukee Wärtsilän veden alla tapahtuvaa huollon kasvua ja laajentaa yhtiön läsnäoloa Euroopan markkinoilla.</t>
  </si>
  <si>
    <t>Alla olevissa taulukoissa on esitetty tiivistetysti määrät Greensmithistä maksetusta vastikkeesta, yrityshankinnan rahavirtavaikutuksesta sekä Wärtsilälle hankittujen varojen ja vastattaviksi otettujen velkojen arvoista hankintahetkellä.</t>
  </si>
  <si>
    <t>Luovutettu vastike</t>
  </si>
  <si>
    <t>Yrityshankinnan rahavirtavaikutus</t>
  </si>
  <si>
    <t>Hankittujen varojen ja vastattaviksi otettujen velkojen arvot hankintahetkellä</t>
  </si>
  <si>
    <t>Hankittujen aineettomien hyödykkeiden käypä arvo hankintahetkellä (mukaan lukien tavaramerkit ja teknologia) on yhteensä 42 milj. euroa. Lyhytaikaisten myyntisaamisten ja muiden saamisten käypä arvo on noin 5 milj. euroa. Myyntisaamisten käypään arvoon ei sisälly merkittävää riskiä.</t>
  </si>
  <si>
    <t xml:space="preserve">120 milj. euron liikearvo heijastaa energian varastoinnin ja integraatiopalvelujen osaamisen ja asiantuntemuksen arvoa. Wärtsilä odottaa, että yrityshankinta parantaa sen tarjontaa ja palveluita asiakkaiden suuntaan sekä tukee kasvustrategiaa ja näin ollen luo Wärtsilälle uusia liiketoimintamahdollisuuksia ja parantaa asiakkaiden toiminnan tehokkuutta. </t>
  </si>
  <si>
    <t>Alla olevissa taulukoissa on esitetty tiivistetysti määrät maksetuista vastikkeista, yrityshankintojen rahavirtavaikutuksesta sekä Wärtsilälle hankittujen varojen ja vastattaviksi otettujen velkojen arvoista hankintahetkillä.</t>
  </si>
  <si>
    <t>Yrityshankintojen rahavirtavaikutus</t>
  </si>
  <si>
    <t>Hankittujen varojen ja vastattaviksi otettujen velkojen arvot hankintahetkillä</t>
  </si>
  <si>
    <t>Hankittujen aineettomien hyödykkeiden käypä arvo hankintahetkillä (mukaan lukien asiakassuhteet, teknologia ja tavaramerkit) on yhteensä 17 milj. euroa. Lyhytaikaisten myyntisaamisten ja muiden saamisten käypä arvo on noin 14 milj. euroa. Myyntisaamisten käypään arvoon ei sisälly merkittävää riskiä.</t>
  </si>
  <si>
    <t>37 milj. euron liikearvo heijastaa osaamisen ja asiantuntemuksen arvoa biokaasun jalostukseen liittyvien kokonaisratkaisujen toimittamisessa ja älykkäämmässä alusnavigoinnissa. Wärtsilä odottaa, että Puregas Solutions Ab:n hankinta vahvistaa ja täydentää sen asemaa biokaasun nesteytysmarkkinoilla sekä parantaa Wärtsilän tarjontaa ja toimintakenttää kaasun arvoketjussa. Guidance Navigation Holdings Limitedin hankinta parantaa Wärtsilän osaamista tilannevalveutuneisuuden ja lähialueen mittauksen alalla, jotka molemmat ovat keskeisessä osassa älykkäässä alusnavigoinnissa.</t>
  </si>
  <si>
    <t>lasku yli 82 prosenttia</t>
  </si>
  <si>
    <t>* Arvostettu jaksotettuun hankintamenoon konsernin taseessa.</t>
  </si>
  <si>
    <t xml:space="preserve">Asiakassopimuksiin liittyvät myyntisaamiset ovat korottomia saamisia. Myyntisaamiset ovat vähentyneet tilikauden 2018 aikana lähinnä johtuen tiettyjen huomattavien erääntyneiden saamisten suorituksista. 
Sopimukseen perustuvat varat liittyvät ensisijaisesti konsernin oikeuteen saada vastike luovutetuista tavaroista tai palveluista, joita ei ole vielä raportointipäivänä laskutettu asiakkaalta. Sopimukseen perustuvat varat siirretään saamisiin kun vastikkeeseen on ehdoton oikeus.
Sopimukseen perustuvat velat liittyvät pääasiallisesti asiakkailta saatuihin ennakoihin, joihin liittyviä tavaroita tai palveluja ei ole vielä luovutettu asiakkaalle.
Sopimuksiin perustuvat varat ja velat liittyvät pitkäaikaisiin sopimuksiin ja  ajan kuluessa tuloutettaviin projekteihin, kuten pitkäaikaishankkeisiin, integroituihin ratkaisuihin, laivan suunnitteluun sekä voimalaratkaisuihin. Sopimuksiin perustuvat varat ovat lisääntyneet vuoden 2018 aikana, mikä johtuu tavanomaisesta vaihtelusta enimmäkseen Energy Solutions -liiketoiminnan projekteissa sekä uusien hankintojen vaikutuksesta n. 15 milj. euroa. Lisäksi kertynyt jaksotettu tulo on lisääntynyt tietyissä pitkäaikaisissa palvelusopimuksissa. Sopimuksiin perustuvien velkojen lisäys tilikaudella 2018 johtuu myös pääasiassa tavanomaisesta Energy Solutions -liiketoiminnan projektien vaihtelusta sekä hankintojen vaikutuksesta 1 milj. euroa. </t>
  </si>
  <si>
    <t>Yrityshan-
kinnat</t>
  </si>
  <si>
    <t>Konserniyhtiöt ovat vastaajina eräissä oikeusjutuissa, jotka liittyvät konsernin normaaliin liiketoimintaan. Kyseiset oikeusjutut koskevat mm. sopimus- ja muita vastuita, työsuhdeasioita, omaisuusvahinkoja sekä hallintoasioita. Konserni saa ajoittain erisuuruisia ja vaihtelevassa määrin perusteltuja korvausvaatimuksia. Eräs saaduista vaatimuksista on erityisen suuri, mutta sen toteutumista pidetään erittäin epätodennäköisenä. Tämä vaade on käsitelty ehdollisena velkana, sillä konsernin periaatteisiin kuuluu varausten tekeminen vaatimusten sekä oikeudenkäyntien ja välimiesmenettelyjen varalta silloin kun epäsuotuisa lopputulos on todennäköinen ja kulujen suuruus voidaan kohtuullisella varmuudella arvioida.</t>
  </si>
  <si>
    <t>Koska kenttähuoltotyöt laskutetaan paikallisessa valuutassa, konsernin liikevaihtoon kohdistuu valuuttakurssimuutoksista johtuvaa volatiliteettia. Vaikutus kannattavuuteen on kuitenkin rajallinen, koska myös kustannukset ovat samassa valuutassa. Varaosamyynti perustuu euromääräisiin hinnastoihin, ja niihin liittyvät ostot euroalueen ulkopuolisissa valuutoissa suojataan, joten valuuttakurssimuutokset vaikuttavat varaosamyyntiin vain vähäisesti. Sekä Marine Solutionsin että Energy Solutionsin projektit, laitteiden myynti, ostot ja pitkäaikaisten sopimusten arvioidut valuuttariskit suojataan, konserni ei odota merkittäviä voittoja/tappioita valuuttakurssimuutoksista vuonna 2019.</t>
  </si>
  <si>
    <t>Koska Wärtsilällä on tytäryhtiöitä ja yhteisyrityksiä euroalueen ulkopuolella, ovat konsernin oma pääoma, liikearvo ja kauppahinnan kohdistukset alttiina valuuttakurssien vaihteluille. Vuoden 2018 lopussa Wärtsilän euroalueen ulkopuolisten tytäryhtiöiden ja yhteisyritysten nettovarallisuuden arvo oli 979 milj. euroa (1.011). Lisäksi ulkomaanrahan määräistä, yrityshankinnoissa syntynyttä liikearvoa ja kauppahinnan kohdistuksia oli 932 milj. euroa (825). Vuonna 2018 muuhun laajaan tulokseen kirjatut muuntoerot syntyivät pääosin Yhdysvaltain dollarin (USD), Norjan kruunun (NOK), Englannin punnan (GBP) ja Brasilian realin (BRL) kurssimuutoksista.</t>
  </si>
  <si>
    <t>3.7.2017 Wärtsilä hankki 100% Greensmith Management Systems Inc.:stä.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</si>
</sst>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
    <numFmt numFmtId="166" formatCode="0.000"/>
    <numFmt numFmtId="167" formatCode="0.00000"/>
    <numFmt numFmtId="168" formatCode="#,##0.000"/>
    <numFmt numFmtId="169" formatCode="#,##0.000000"/>
    <numFmt numFmtId="170" formatCode="###,###,##0"/>
    <numFmt numFmtId="171" formatCode="###,###,##0.000"/>
    <numFmt numFmtId="172" formatCode="#,##0.00000"/>
    <numFmt numFmtId="173" formatCode="[$-409]mmm\-yy;@"/>
  </numFmts>
  <fonts count="76">
    <font>
      <sz val="8"/>
      <name val="Frutiger 45 Light"/>
    </font>
    <font>
      <sz val="11"/>
      <color theme="1"/>
      <name val="Calibri"/>
      <family val="2"/>
      <scheme val="minor"/>
    </font>
    <font>
      <sz val="11"/>
      <color theme="1"/>
      <name val="Calibri"/>
      <family val="2"/>
      <scheme val="minor"/>
    </font>
    <font>
      <sz val="11"/>
      <color theme="1"/>
      <name val="Calibri"/>
      <family val="2"/>
      <scheme val="minor"/>
    </font>
    <font>
      <sz val="8"/>
      <name val="Frutiger 45 Light"/>
    </font>
    <font>
      <b/>
      <sz val="8"/>
      <name val="Frutiger 45 Light"/>
      <family val="2"/>
    </font>
    <font>
      <sz val="8"/>
      <name val="Frutiger 45 Light"/>
      <family val="2"/>
    </font>
    <font>
      <sz val="8"/>
      <color indexed="10"/>
      <name val="Arial"/>
      <family val="2"/>
    </font>
    <font>
      <sz val="8"/>
      <name val="Arial"/>
      <family val="2"/>
    </font>
    <font>
      <b/>
      <sz val="8"/>
      <name val="Arial"/>
      <family val="2"/>
    </font>
    <font>
      <sz val="8"/>
      <name val="Frutiger 45 Light"/>
    </font>
    <font>
      <u/>
      <sz val="8"/>
      <color indexed="12"/>
      <name val="Frutiger 45 Light"/>
    </font>
    <font>
      <b/>
      <sz val="8"/>
      <name val="Frutiger 45 Light"/>
    </font>
    <font>
      <i/>
      <sz val="8"/>
      <color indexed="10"/>
      <name val="Frutiger 45 Light"/>
    </font>
    <font>
      <b/>
      <sz val="8"/>
      <color indexed="8"/>
      <name val="Arial"/>
      <family val="2"/>
    </font>
    <font>
      <b/>
      <sz val="8"/>
      <color indexed="12"/>
      <name val="Frutiger 45 Light"/>
    </font>
    <font>
      <sz val="8"/>
      <color indexed="12"/>
      <name val="Frutiger 45 Light"/>
    </font>
    <font>
      <b/>
      <sz val="6"/>
      <color indexed="12"/>
      <name val="Frutiger 45 Light"/>
    </font>
    <font>
      <b/>
      <sz val="8"/>
      <color indexed="12"/>
      <name val="Arial"/>
      <family val="2"/>
    </font>
    <font>
      <sz val="8"/>
      <color indexed="12"/>
      <name val="Arial"/>
      <family val="2"/>
    </font>
    <font>
      <i/>
      <sz val="8"/>
      <color indexed="45"/>
      <name val="Frutiger 45 Light"/>
    </font>
    <font>
      <i/>
      <sz val="8"/>
      <name val="Arial"/>
      <family val="2"/>
    </font>
    <font>
      <i/>
      <sz val="8"/>
      <name val="Frutiger 45 Light"/>
    </font>
    <font>
      <sz val="8"/>
      <name val="Helv"/>
    </font>
    <font>
      <b/>
      <sz val="14"/>
      <color indexed="10"/>
      <name val="Frutiger 45 Light"/>
    </font>
    <font>
      <sz val="8"/>
      <color indexed="9"/>
      <name val="Frutiger 45 Light"/>
    </font>
    <font>
      <sz val="8"/>
      <color indexed="10"/>
      <name val="Frutiger 45 Light"/>
    </font>
    <font>
      <b/>
      <i/>
      <sz val="8"/>
      <color indexed="20"/>
      <name val="Arial"/>
      <family val="2"/>
    </font>
    <font>
      <i/>
      <sz val="8"/>
      <color indexed="20"/>
      <name val="Arial"/>
      <family val="2"/>
    </font>
    <font>
      <i/>
      <sz val="8"/>
      <color indexed="20"/>
      <name val="Frutiger 45 Light"/>
    </font>
    <font>
      <i/>
      <sz val="6"/>
      <color indexed="20"/>
      <name val="Arial"/>
      <family val="2"/>
    </font>
    <font>
      <b/>
      <sz val="12"/>
      <name val="Arial"/>
      <family val="2"/>
    </font>
    <font>
      <b/>
      <sz val="8"/>
      <color indexed="81"/>
      <name val="Tahoma"/>
      <family val="2"/>
    </font>
    <font>
      <sz val="10"/>
      <name val="Arial"/>
      <family val="2"/>
    </font>
    <font>
      <sz val="10"/>
      <name val="Arial"/>
      <family val="2"/>
    </font>
    <font>
      <sz val="10"/>
      <name val="MS Sans Serif"/>
      <family val="2"/>
    </font>
    <font>
      <sz val="12"/>
      <name val="Times New Roman"/>
      <family val="1"/>
    </font>
    <font>
      <sz val="12"/>
      <name val="Arial"/>
      <family val="2"/>
    </font>
    <font>
      <b/>
      <sz val="10"/>
      <name val="Arial"/>
      <family val="2"/>
    </font>
    <font>
      <sz val="8"/>
      <name val="Arial"/>
      <family val="2"/>
    </font>
    <font>
      <sz val="9"/>
      <name val="Arial"/>
      <family val="2"/>
    </font>
    <font>
      <b/>
      <sz val="9"/>
      <name val="Arial"/>
      <family val="2"/>
    </font>
    <font>
      <sz val="18"/>
      <name val="Arial"/>
      <family val="2"/>
    </font>
    <font>
      <sz val="10"/>
      <color indexed="10"/>
      <name val="Arial"/>
      <family val="2"/>
    </font>
    <font>
      <b/>
      <sz val="10"/>
      <color indexed="10"/>
      <name val="Arial"/>
      <family val="2"/>
    </font>
    <font>
      <i/>
      <sz val="12"/>
      <color indexed="12"/>
      <name val="Arial"/>
      <family val="2"/>
    </font>
    <font>
      <sz val="18"/>
      <color indexed="23"/>
      <name val="Arial"/>
      <family val="2"/>
    </font>
    <font>
      <b/>
      <sz val="8"/>
      <color indexed="10"/>
      <name val="Arial"/>
      <family val="2"/>
    </font>
    <font>
      <b/>
      <sz val="12"/>
      <color indexed="23"/>
      <name val="Arial"/>
      <family val="2"/>
    </font>
    <font>
      <sz val="8"/>
      <name val="Frutiger 45 Light"/>
    </font>
    <font>
      <i/>
      <sz val="8"/>
      <color indexed="12"/>
      <name val="Arial"/>
      <family val="2"/>
    </font>
    <font>
      <sz val="12"/>
      <color indexed="20"/>
      <name val="Arial"/>
      <family val="2"/>
    </font>
    <font>
      <b/>
      <sz val="8"/>
      <color indexed="23"/>
      <name val="Arial"/>
      <family val="2"/>
    </font>
    <font>
      <sz val="8"/>
      <color indexed="9"/>
      <name val="Arial"/>
      <family val="2"/>
    </font>
    <font>
      <b/>
      <sz val="7"/>
      <name val="Arial"/>
      <family val="2"/>
    </font>
    <font>
      <sz val="7"/>
      <name val="Arial"/>
      <family val="2"/>
    </font>
    <font>
      <u/>
      <sz val="8"/>
      <name val="Frutiger 45 Light"/>
    </font>
    <font>
      <sz val="8"/>
      <color theme="1"/>
      <name val="Arial"/>
      <family val="2"/>
    </font>
    <font>
      <b/>
      <sz val="8"/>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8"/>
      <name val="Arial"/>
      <family val="2"/>
    </font>
  </fonts>
  <fills count="39">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EBEBEB"/>
        <bgColor indexed="64"/>
      </patternFill>
    </fill>
  </fills>
  <borders count="36">
    <border>
      <left/>
      <right/>
      <top/>
      <bottom/>
      <diagonal/>
    </border>
    <border>
      <left/>
      <right/>
      <top/>
      <bottom style="hair">
        <color auto="1"/>
      </bottom>
      <diagonal/>
    </border>
    <border>
      <left/>
      <right/>
      <top/>
      <bottom style="thin">
        <color auto="1"/>
      </bottom>
      <diagonal/>
    </border>
    <border>
      <left/>
      <right/>
      <top/>
      <bottom style="double">
        <color auto="1"/>
      </bottom>
      <diagonal/>
    </border>
    <border>
      <left/>
      <right/>
      <top style="thin">
        <color auto="1"/>
      </top>
      <bottom style="double">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bottom style="thin">
        <color indexed="53"/>
      </bottom>
      <diagonal/>
    </border>
    <border>
      <left/>
      <right/>
      <top style="hair">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64"/>
      </top>
      <bottom/>
      <diagonal/>
    </border>
    <border>
      <left/>
      <right/>
      <top style="hair">
        <color auto="1"/>
      </top>
      <bottom style="hair">
        <color indexed="64"/>
      </bottom>
      <diagonal/>
    </border>
    <border>
      <left/>
      <right/>
      <top style="thin">
        <color indexed="64"/>
      </top>
      <bottom/>
      <diagonal/>
    </border>
    <border>
      <left/>
      <right/>
      <top style="thin">
        <color auto="1"/>
      </top>
      <bottom style="hair">
        <color indexed="64"/>
      </bottom>
      <diagonal/>
    </border>
    <border>
      <left/>
      <right/>
      <top/>
      <bottom style="thin">
        <color indexed="64"/>
      </bottom>
      <diagonal/>
    </border>
    <border>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
      <left/>
      <right/>
      <top/>
      <bottom style="thin">
        <color indexed="53"/>
      </bottom>
      <diagonal/>
    </border>
  </borders>
  <cellStyleXfs count="91">
    <xf numFmtId="0" fontId="0" fillId="0" borderId="0"/>
    <xf numFmtId="0" fontId="11" fillId="0" borderId="0" applyNumberFormat="0" applyFill="0" applyBorder="0" applyAlignment="0" applyProtection="0">
      <alignment vertical="top"/>
      <protection locked="0"/>
    </xf>
    <xf numFmtId="0" fontId="33" fillId="0" borderId="0"/>
    <xf numFmtId="0" fontId="33" fillId="0" borderId="0"/>
    <xf numFmtId="0" fontId="35" fillId="0" borderId="0"/>
    <xf numFmtId="0" fontId="36" fillId="0" borderId="0"/>
    <xf numFmtId="0" fontId="59" fillId="0" borderId="0" applyNumberFormat="0" applyFill="0" applyBorder="0" applyAlignment="0" applyProtection="0"/>
    <xf numFmtId="0" fontId="60" fillId="0" borderId="17" applyNumberFormat="0" applyFill="0" applyAlignment="0" applyProtection="0"/>
    <xf numFmtId="0" fontId="61" fillId="0" borderId="18" applyNumberFormat="0" applyFill="0" applyAlignment="0" applyProtection="0"/>
    <xf numFmtId="0" fontId="62" fillId="0" borderId="19" applyNumberFormat="0" applyFill="0" applyAlignment="0" applyProtection="0"/>
    <xf numFmtId="0" fontId="62" fillId="0" borderId="0" applyNumberFormat="0" applyFill="0" applyBorder="0" applyAlignment="0" applyProtection="0"/>
    <xf numFmtId="0" fontId="63" fillId="5" borderId="0" applyNumberFormat="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20" applyNumberFormat="0" applyAlignment="0" applyProtection="0"/>
    <xf numFmtId="0" fontId="67" fillId="9" borderId="21" applyNumberFormat="0" applyAlignment="0" applyProtection="0"/>
    <xf numFmtId="0" fontId="68" fillId="9" borderId="20" applyNumberFormat="0" applyAlignment="0" applyProtection="0"/>
    <xf numFmtId="0" fontId="69" fillId="0" borderId="22" applyNumberFormat="0" applyFill="0" applyAlignment="0" applyProtection="0"/>
    <xf numFmtId="0" fontId="70" fillId="10" borderId="23" applyNumberFormat="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3" fillId="0" borderId="25" applyNumberFormat="0" applyFill="0" applyAlignment="0" applyProtection="0"/>
    <xf numFmtId="0" fontId="74"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74" fillId="15" borderId="0" applyNumberFormat="0" applyBorder="0" applyAlignment="0" applyProtection="0"/>
    <xf numFmtId="0" fontId="74"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74" fillId="19" borderId="0" applyNumberFormat="0" applyBorder="0" applyAlignment="0" applyProtection="0"/>
    <xf numFmtId="0" fontId="74"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74" fillId="23" borderId="0" applyNumberFormat="0" applyBorder="0" applyAlignment="0" applyProtection="0"/>
    <xf numFmtId="0" fontId="74"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74" fillId="27" borderId="0" applyNumberFormat="0" applyBorder="0" applyAlignment="0" applyProtection="0"/>
    <xf numFmtId="0" fontId="74"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74" fillId="31" borderId="0" applyNumberFormat="0" applyBorder="0" applyAlignment="0" applyProtection="0"/>
    <xf numFmtId="0" fontId="74"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74" fillId="35" borderId="0" applyNumberFormat="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11" borderId="24" applyNumberFormat="0" applyFont="0" applyAlignment="0" applyProtection="0"/>
    <xf numFmtId="9" fontId="4" fillId="0" borderId="0" applyFont="0" applyFill="0" applyBorder="0" applyAlignment="0" applyProtection="0"/>
    <xf numFmtId="0" fontId="11" fillId="0" borderId="0" applyNumberForma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9" fontId="48" fillId="0" borderId="0" applyNumberFormat="0" applyFont="0" applyFill="0" applyBorder="0" applyAlignment="0" applyProtection="0">
      <alignment horizontal="left"/>
    </xf>
    <xf numFmtId="1" fontId="9" fillId="0" borderId="15" applyNumberFormat="0" applyFont="0" applyFill="0" applyBorder="0" applyAlignment="0" applyProtection="0">
      <alignment horizontal="right"/>
    </xf>
    <xf numFmtId="1" fontId="9" fillId="0" borderId="15" applyNumberFormat="0" applyFont="0" applyFill="0" applyBorder="0" applyAlignment="0" applyProtection="0">
      <alignment horizontal="right"/>
    </xf>
    <xf numFmtId="0" fontId="9" fillId="0" borderId="15" applyNumberFormat="0" applyFont="0" applyFill="0" applyBorder="0" applyAlignment="0" applyProtection="0">
      <alignment horizontal="right"/>
    </xf>
    <xf numFmtId="0" fontId="9" fillId="0" borderId="15" applyNumberFormat="0" applyFont="0" applyFill="0" applyBorder="0" applyAlignment="0" applyProtection="0">
      <alignment horizontal="right"/>
    </xf>
    <xf numFmtId="1" fontId="9" fillId="0" borderId="15" applyNumberFormat="0" applyFont="0" applyFill="0" applyBorder="0" applyAlignment="0" applyProtection="0">
      <alignment horizontal="right"/>
    </xf>
    <xf numFmtId="49" fontId="9" fillId="0" borderId="15" applyNumberFormat="0" applyFont="0" applyFill="0" applyBorder="0" applyAlignment="0" applyProtection="0">
      <alignment horizontal="right" wrapText="1"/>
    </xf>
    <xf numFmtId="0" fontId="8" fillId="0" borderId="0" applyNumberFormat="0" applyFont="0" applyFill="0" applyBorder="0" applyAlignment="0" applyProtection="0">
      <alignment horizontal="right"/>
    </xf>
    <xf numFmtId="49" fontId="31" fillId="0" borderId="0" applyNumberFormat="0" applyFill="0" applyBorder="0" applyAlignment="0" applyProtection="0">
      <alignment horizontal="left"/>
    </xf>
    <xf numFmtId="0" fontId="8" fillId="0" borderId="0" applyNumberFormat="0" applyFont="0" applyFill="0" applyBorder="0" applyAlignment="0" applyProtection="0">
      <alignment horizontal="left"/>
    </xf>
    <xf numFmtId="0" fontId="8" fillId="0" borderId="0" applyNumberFormat="0" applyFont="0" applyFill="0" applyBorder="0" applyAlignment="0" applyProtection="0">
      <alignment horizontal="right"/>
    </xf>
    <xf numFmtId="49" fontId="54" fillId="0" borderId="34" applyNumberFormat="0" applyFont="0" applyFill="0" applyAlignment="0" applyProtection="0">
      <alignment horizontal="right" wrapText="1"/>
    </xf>
    <xf numFmtId="0" fontId="8" fillId="0" borderId="0" applyNumberFormat="0" applyFont="0" applyFill="0" applyBorder="0" applyAlignment="0" applyProtection="0"/>
    <xf numFmtId="0" fontId="33" fillId="0" borderId="0"/>
    <xf numFmtId="1" fontId="9" fillId="37" borderId="0" applyNumberFormat="0" applyFont="0" applyFill="0" applyBorder="0" applyAlignment="0" applyProtection="0">
      <alignment horizontal="right"/>
    </xf>
    <xf numFmtId="0" fontId="8" fillId="36" borderId="1" applyNumberFormat="0" applyFont="0" applyFill="0" applyAlignment="0" applyProtection="0">
      <alignment horizontal="left"/>
    </xf>
    <xf numFmtId="0" fontId="8" fillId="36" borderId="30" applyNumberFormat="0" applyFont="0" applyFill="0" applyAlignment="0" applyProtection="0">
      <alignment horizontal="left"/>
    </xf>
    <xf numFmtId="0" fontId="4" fillId="36" borderId="0" applyNumberFormat="0" applyFont="0" applyFill="0" applyBorder="0" applyAlignment="0" applyProtection="0"/>
    <xf numFmtId="0" fontId="4" fillId="36" borderId="0" applyNumberFormat="0" applyFont="0" applyFill="0" applyBorder="0" applyAlignment="0" applyProtection="0"/>
    <xf numFmtId="49" fontId="9" fillId="36" borderId="34" applyNumberFormat="0" applyFont="0" applyFill="0" applyAlignment="0" applyProtection="0">
      <alignment horizontal="left"/>
    </xf>
    <xf numFmtId="0" fontId="2" fillId="0" borderId="0"/>
    <xf numFmtId="173" fontId="2" fillId="0" borderId="0"/>
    <xf numFmtId="0" fontId="4" fillId="36" borderId="0" applyNumberFormat="0" applyFont="0" applyFill="0" applyBorder="0" applyAlignment="0" applyProtection="0"/>
    <xf numFmtId="0" fontId="8" fillId="0" borderId="0" applyNumberFormat="0" applyFont="0" applyFill="0" applyBorder="0" applyAlignment="0" applyProtection="0">
      <alignment wrapText="1"/>
    </xf>
    <xf numFmtId="0" fontId="1" fillId="0" borderId="0" applyNumberFormat="0" applyFont="0" applyFill="0" applyBorder="0" applyAlignment="0" applyProtection="0"/>
    <xf numFmtId="1" fontId="9" fillId="0" borderId="35" applyNumberFormat="0" applyFont="0" applyFill="0" applyBorder="0" applyAlignment="0" applyProtection="0">
      <alignment horizontal="right"/>
    </xf>
    <xf numFmtId="0" fontId="8" fillId="36" borderId="34" applyNumberFormat="0" applyFont="0" applyFill="0" applyAlignment="0" applyProtection="0">
      <alignment horizontal="left"/>
    </xf>
    <xf numFmtId="49" fontId="12" fillId="36" borderId="0" applyNumberFormat="0" applyFont="0" applyFill="0" applyBorder="0" applyAlignment="0" applyProtection="0">
      <alignment horizontal="left" wrapText="1"/>
    </xf>
  </cellStyleXfs>
  <cellXfs count="1305">
    <xf numFmtId="0" fontId="0" fillId="0" borderId="0" xfId="0"/>
    <xf numFmtId="2" fontId="5" fillId="0" borderId="0" xfId="0" applyNumberFormat="1" applyFont="1"/>
    <xf numFmtId="2" fontId="6" fillId="0" borderId="0" xfId="0" applyNumberFormat="1" applyFont="1"/>
    <xf numFmtId="166" fontId="0" fillId="0" borderId="0" xfId="0" applyNumberFormat="1"/>
    <xf numFmtId="0" fontId="8" fillId="0" borderId="0" xfId="0" applyFont="1"/>
    <xf numFmtId="165" fontId="8" fillId="0" borderId="0" xfId="0" applyNumberFormat="1" applyFont="1"/>
    <xf numFmtId="2" fontId="8" fillId="0" borderId="0" xfId="0" applyNumberFormat="1" applyFont="1"/>
    <xf numFmtId="2" fontId="6" fillId="0" borderId="1" xfId="0" applyNumberFormat="1" applyFont="1" applyBorder="1"/>
    <xf numFmtId="165" fontId="8" fillId="0" borderId="0" xfId="0" applyNumberFormat="1" applyFont="1" applyFill="1"/>
    <xf numFmtId="2" fontId="8" fillId="0" borderId="1" xfId="0" applyNumberFormat="1" applyFont="1" applyBorder="1"/>
    <xf numFmtId="2" fontId="9" fillId="0" borderId="0" xfId="0" applyNumberFormat="1" applyFont="1"/>
    <xf numFmtId="165" fontId="8" fillId="0" borderId="0" xfId="0" applyNumberFormat="1" applyFont="1" applyFill="1" applyBorder="1"/>
    <xf numFmtId="165" fontId="8" fillId="0" borderId="0" xfId="0" applyNumberFormat="1" applyFont="1" applyAlignment="1">
      <alignment horizontal="right"/>
    </xf>
    <xf numFmtId="165" fontId="9" fillId="0" borderId="0" xfId="0" quotePrefix="1" applyNumberFormat="1" applyFont="1" applyAlignment="1">
      <alignment horizontal="right"/>
    </xf>
    <xf numFmtId="165" fontId="9" fillId="0" borderId="0" xfId="0" applyNumberFormat="1" applyFont="1" applyAlignment="1">
      <alignment horizontal="right"/>
    </xf>
    <xf numFmtId="165" fontId="9" fillId="0" borderId="0" xfId="0" applyNumberFormat="1" applyFont="1" applyFill="1" applyBorder="1" applyAlignment="1">
      <alignment horizontal="right"/>
    </xf>
    <xf numFmtId="166" fontId="8" fillId="0" borderId="0" xfId="0" applyNumberFormat="1" applyFont="1"/>
    <xf numFmtId="0" fontId="8" fillId="0" borderId="0" xfId="0" applyFont="1" applyAlignment="1">
      <alignment horizontal="left"/>
    </xf>
    <xf numFmtId="2" fontId="8" fillId="0" borderId="0" xfId="0" applyNumberFormat="1" applyFont="1" applyFill="1"/>
    <xf numFmtId="165" fontId="8" fillId="0" borderId="0" xfId="0" quotePrefix="1" applyNumberFormat="1" applyFont="1" applyAlignment="1">
      <alignment horizontal="right"/>
    </xf>
    <xf numFmtId="165" fontId="8" fillId="0" borderId="0" xfId="0" applyNumberFormat="1" applyFont="1" applyFill="1" applyBorder="1" applyAlignment="1">
      <alignment horizontal="right"/>
    </xf>
    <xf numFmtId="0" fontId="9" fillId="0" borderId="0" xfId="0" applyFont="1"/>
    <xf numFmtId="165" fontId="0" fillId="0" borderId="0" xfId="0" applyNumberFormat="1"/>
    <xf numFmtId="2" fontId="9" fillId="0" borderId="0" xfId="0" applyNumberFormat="1" applyFont="1" applyFill="1"/>
    <xf numFmtId="165" fontId="7" fillId="0" borderId="0" xfId="0" applyNumberFormat="1" applyFont="1" applyFill="1"/>
    <xf numFmtId="0" fontId="8" fillId="0" borderId="0" xfId="0" applyFont="1" applyFill="1"/>
    <xf numFmtId="0" fontId="9" fillId="0" borderId="0" xfId="0" applyFont="1" applyFill="1"/>
    <xf numFmtId="0" fontId="8" fillId="0" borderId="2" xfId="0" applyFont="1" applyBorder="1"/>
    <xf numFmtId="0" fontId="8" fillId="0" borderId="0" xfId="0" applyFont="1" applyBorder="1"/>
    <xf numFmtId="0" fontId="8" fillId="0" borderId="0" xfId="0" applyFont="1" applyFill="1" applyBorder="1"/>
    <xf numFmtId="0" fontId="8" fillId="0" borderId="3" xfId="0" applyFont="1" applyBorder="1"/>
    <xf numFmtId="0" fontId="8" fillId="0" borderId="3" xfId="0" applyFont="1" applyFill="1" applyBorder="1"/>
    <xf numFmtId="0" fontId="8" fillId="0" borderId="4" xfId="0" applyFont="1" applyBorder="1"/>
    <xf numFmtId="0" fontId="8" fillId="0" borderId="4" xfId="0" applyFont="1" applyFill="1" applyBorder="1"/>
    <xf numFmtId="0" fontId="8" fillId="0" borderId="2" xfId="0" applyFont="1" applyFill="1" applyBorder="1"/>
    <xf numFmtId="168" fontId="0" fillId="0" borderId="0" xfId="0" applyNumberFormat="1"/>
    <xf numFmtId="164" fontId="0" fillId="0" borderId="0" xfId="0" applyNumberFormat="1"/>
    <xf numFmtId="164" fontId="8" fillId="0" borderId="0" xfId="0" applyNumberFormat="1" applyFont="1"/>
    <xf numFmtId="0" fontId="12" fillId="0" borderId="0" xfId="0" applyFont="1"/>
    <xf numFmtId="2" fontId="8" fillId="0" borderId="0" xfId="0" applyNumberFormat="1" applyFont="1" applyBorder="1"/>
    <xf numFmtId="165" fontId="8" fillId="0" borderId="0" xfId="0" applyNumberFormat="1" applyFont="1" applyBorder="1"/>
    <xf numFmtId="2" fontId="6" fillId="0" borderId="0" xfId="0" applyNumberFormat="1" applyFont="1" applyBorder="1"/>
    <xf numFmtId="164" fontId="0" fillId="0" borderId="2" xfId="0" applyNumberFormat="1" applyBorder="1"/>
    <xf numFmtId="164" fontId="0" fillId="0" borderId="5" xfId="0" applyNumberFormat="1" applyBorder="1"/>
    <xf numFmtId="0" fontId="13" fillId="0" borderId="0" xfId="0" applyFont="1" applyAlignment="1">
      <alignment horizontal="right"/>
    </xf>
    <xf numFmtId="165" fontId="0" fillId="0" borderId="2" xfId="0" applyNumberFormat="1" applyBorder="1"/>
    <xf numFmtId="0" fontId="12" fillId="0" borderId="0" xfId="0" applyFont="1" applyAlignment="1">
      <alignment horizontal="right"/>
    </xf>
    <xf numFmtId="0" fontId="4" fillId="0" borderId="0" xfId="0" applyFont="1"/>
    <xf numFmtId="0" fontId="8" fillId="0" borderId="1" xfId="0" applyFont="1" applyBorder="1"/>
    <xf numFmtId="0" fontId="7" fillId="0" borderId="0" xfId="0" applyFont="1" applyFill="1"/>
    <xf numFmtId="0" fontId="0" fillId="0" borderId="0" xfId="0" applyBorder="1"/>
    <xf numFmtId="0" fontId="0" fillId="0" borderId="0" xfId="0" applyFill="1"/>
    <xf numFmtId="0" fontId="4" fillId="0" borderId="0" xfId="0" applyFont="1" applyFill="1"/>
    <xf numFmtId="2" fontId="4" fillId="0" borderId="0" xfId="0" applyNumberFormat="1" applyFont="1"/>
    <xf numFmtId="0" fontId="0" fillId="0" borderId="1" xfId="0" applyBorder="1"/>
    <xf numFmtId="165" fontId="8" fillId="0" borderId="2" xfId="0" applyNumberFormat="1" applyFont="1" applyBorder="1"/>
    <xf numFmtId="164" fontId="8" fillId="0" borderId="2" xfId="0" applyNumberFormat="1" applyFont="1" applyBorder="1"/>
    <xf numFmtId="0" fontId="8" fillId="0" borderId="0" xfId="0" quotePrefix="1" applyFont="1" applyFill="1"/>
    <xf numFmtId="0" fontId="8" fillId="0" borderId="0" xfId="0" quotePrefix="1" applyFont="1" applyFill="1" applyBorder="1"/>
    <xf numFmtId="165" fontId="8" fillId="0" borderId="0" xfId="0" applyNumberFormat="1" applyFont="1" applyFill="1" applyAlignment="1">
      <alignment horizontal="right"/>
    </xf>
    <xf numFmtId="165" fontId="8" fillId="0" borderId="5" xfId="0" applyNumberFormat="1" applyFont="1" applyBorder="1"/>
    <xf numFmtId="167" fontId="8" fillId="0" borderId="0" xfId="0" applyNumberFormat="1" applyFont="1" applyFill="1" applyBorder="1"/>
    <xf numFmtId="0" fontId="15" fillId="0" borderId="0" xfId="0" applyFont="1"/>
    <xf numFmtId="0" fontId="16" fillId="0" borderId="0" xfId="0" applyFont="1"/>
    <xf numFmtId="164" fontId="16" fillId="0" borderId="0" xfId="0" applyNumberFormat="1" applyFont="1"/>
    <xf numFmtId="2" fontId="0" fillId="0" borderId="0" xfId="0" applyNumberFormat="1"/>
    <xf numFmtId="14" fontId="17" fillId="0" borderId="0" xfId="0" applyNumberFormat="1" applyFont="1"/>
    <xf numFmtId="165" fontId="18" fillId="0" borderId="0" xfId="0" quotePrefix="1" applyNumberFormat="1" applyFont="1" applyAlignment="1">
      <alignment horizontal="right"/>
    </xf>
    <xf numFmtId="165" fontId="19" fillId="0" borderId="0" xfId="0" applyNumberFormat="1" applyFont="1" applyFill="1" applyBorder="1"/>
    <xf numFmtId="165" fontId="19" fillId="0" borderId="0" xfId="0" applyNumberFormat="1" applyFont="1" applyFill="1"/>
    <xf numFmtId="165" fontId="19" fillId="0" borderId="0" xfId="0" applyNumberFormat="1" applyFont="1"/>
    <xf numFmtId="0" fontId="20" fillId="0" borderId="0" xfId="0" applyFont="1"/>
    <xf numFmtId="165" fontId="9" fillId="0" borderId="0" xfId="0" applyNumberFormat="1" applyFont="1" applyFill="1"/>
    <xf numFmtId="164" fontId="0" fillId="0" borderId="0" xfId="0" applyNumberFormat="1" applyFill="1"/>
    <xf numFmtId="165" fontId="0" fillId="0" borderId="0" xfId="0" applyNumberFormat="1" applyFill="1"/>
    <xf numFmtId="166" fontId="21" fillId="0" borderId="0" xfId="0" applyNumberFormat="1" applyFont="1"/>
    <xf numFmtId="1" fontId="20" fillId="0" borderId="0" xfId="0" applyNumberFormat="1" applyFont="1"/>
    <xf numFmtId="164" fontId="0" fillId="0" borderId="2" xfId="0" applyNumberFormat="1" applyFill="1" applyBorder="1"/>
    <xf numFmtId="166" fontId="22" fillId="0" borderId="0" xfId="0" applyNumberFormat="1" applyFont="1"/>
    <xf numFmtId="0" fontId="8" fillId="0" borderId="0" xfId="0" applyFont="1" applyFill="1" applyAlignment="1">
      <alignment horizontal="right"/>
    </xf>
    <xf numFmtId="164" fontId="0" fillId="0" borderId="0" xfId="0" applyNumberFormat="1" applyBorder="1"/>
    <xf numFmtId="164" fontId="8" fillId="0" borderId="0" xfId="0" applyNumberFormat="1" applyFont="1" applyFill="1"/>
    <xf numFmtId="0" fontId="12" fillId="2" borderId="0" xfId="0" applyFont="1" applyFill="1"/>
    <xf numFmtId="0" fontId="12" fillId="0" borderId="0" xfId="0" applyFont="1" applyFill="1"/>
    <xf numFmtId="164" fontId="8" fillId="0" borderId="0" xfId="0" applyNumberFormat="1" applyFont="1" applyBorder="1"/>
    <xf numFmtId="2" fontId="8" fillId="0" borderId="2" xfId="0" applyNumberFormat="1" applyFont="1" applyBorder="1"/>
    <xf numFmtId="2" fontId="9" fillId="0" borderId="5" xfId="0" applyNumberFormat="1" applyFont="1" applyBorder="1"/>
    <xf numFmtId="2" fontId="8" fillId="0" borderId="5" xfId="0" applyNumberFormat="1" applyFont="1" applyBorder="1"/>
    <xf numFmtId="0" fontId="0" fillId="0" borderId="2" xfId="0" applyBorder="1"/>
    <xf numFmtId="2" fontId="8" fillId="0" borderId="2" xfId="0" applyNumberFormat="1" applyFont="1" applyFill="1" applyBorder="1"/>
    <xf numFmtId="2" fontId="0" fillId="0" borderId="2" xfId="0" applyNumberFormat="1" applyBorder="1"/>
    <xf numFmtId="2" fontId="9" fillId="0" borderId="2" xfId="0" applyNumberFormat="1" applyFont="1" applyBorder="1"/>
    <xf numFmtId="2" fontId="9" fillId="0" borderId="5" xfId="0" applyNumberFormat="1" applyFont="1" applyFill="1" applyBorder="1"/>
    <xf numFmtId="165" fontId="0" fillId="0" borderId="5" xfId="0" applyNumberFormat="1" applyBorder="1"/>
    <xf numFmtId="164" fontId="8" fillId="0" borderId="2" xfId="0" applyNumberFormat="1" applyFont="1" applyFill="1" applyBorder="1"/>
    <xf numFmtId="2" fontId="8" fillId="0" borderId="5" xfId="0" applyNumberFormat="1" applyFont="1" applyFill="1" applyBorder="1"/>
    <xf numFmtId="164" fontId="0" fillId="0" borderId="5" xfId="0" applyNumberFormat="1" applyFill="1" applyBorder="1"/>
    <xf numFmtId="2" fontId="9" fillId="0" borderId="2" xfId="0" applyNumberFormat="1" applyFont="1" applyFill="1" applyBorder="1"/>
    <xf numFmtId="164" fontId="12" fillId="0" borderId="2" xfId="0" applyNumberFormat="1" applyFont="1" applyFill="1" applyBorder="1"/>
    <xf numFmtId="164" fontId="12" fillId="0" borderId="2" xfId="0" applyNumberFormat="1" applyFont="1" applyBorder="1"/>
    <xf numFmtId="165" fontId="12" fillId="0" borderId="2" xfId="0" applyNumberFormat="1" applyFont="1" applyBorder="1"/>
    <xf numFmtId="0" fontId="0" fillId="0" borderId="5" xfId="0" applyBorder="1"/>
    <xf numFmtId="169" fontId="8" fillId="0" borderId="0" xfId="0" applyNumberFormat="1" applyFont="1" applyFill="1"/>
    <xf numFmtId="0" fontId="9" fillId="0" borderId="0" xfId="0" applyFont="1" applyFill="1" applyAlignment="1">
      <alignment horizontal="right"/>
    </xf>
    <xf numFmtId="165" fontId="9" fillId="0" borderId="2" xfId="0" applyNumberFormat="1" applyFont="1" applyFill="1" applyBorder="1" applyAlignment="1">
      <alignment horizontal="right"/>
    </xf>
    <xf numFmtId="2" fontId="9" fillId="0" borderId="0" xfId="0" applyNumberFormat="1" applyFont="1" applyBorder="1"/>
    <xf numFmtId="165" fontId="8" fillId="0" borderId="2" xfId="0" applyNumberFormat="1" applyFont="1" applyFill="1" applyBorder="1"/>
    <xf numFmtId="0" fontId="9" fillId="0" borderId="2" xfId="0" applyFont="1" applyBorder="1"/>
    <xf numFmtId="0" fontId="12" fillId="0" borderId="2" xfId="0" applyFont="1" applyBorder="1"/>
    <xf numFmtId="0" fontId="12" fillId="0" borderId="2" xfId="0" applyFont="1" applyBorder="1" applyAlignment="1">
      <alignment horizontal="right"/>
    </xf>
    <xf numFmtId="165" fontId="8" fillId="0" borderId="2" xfId="0" applyNumberFormat="1" applyFont="1" applyFill="1" applyBorder="1" applyAlignment="1">
      <alignment horizontal="right"/>
    </xf>
    <xf numFmtId="165" fontId="9" fillId="0" borderId="2" xfId="0" applyNumberFormat="1" applyFont="1" applyBorder="1" applyAlignment="1">
      <alignment horizontal="right"/>
    </xf>
    <xf numFmtId="1" fontId="9" fillId="0" borderId="2" xfId="0" applyNumberFormat="1" applyFont="1" applyBorder="1" applyAlignment="1">
      <alignment horizontal="right"/>
    </xf>
    <xf numFmtId="0" fontId="9" fillId="0" borderId="5" xfId="0" applyFont="1" applyBorder="1"/>
    <xf numFmtId="165" fontId="9" fillId="0" borderId="5" xfId="0" applyNumberFormat="1" applyFont="1" applyFill="1" applyBorder="1"/>
    <xf numFmtId="3" fontId="8" fillId="0" borderId="0" xfId="0" applyNumberFormat="1" applyFont="1"/>
    <xf numFmtId="3" fontId="8" fillId="0" borderId="0" xfId="0" applyNumberFormat="1" applyFont="1" applyFill="1"/>
    <xf numFmtId="3" fontId="8" fillId="0" borderId="2" xfId="0" applyNumberFormat="1" applyFont="1" applyBorder="1"/>
    <xf numFmtId="3" fontId="8" fillId="0" borderId="2" xfId="0" applyNumberFormat="1" applyFont="1" applyFill="1" applyBorder="1"/>
    <xf numFmtId="0" fontId="9" fillId="0" borderId="0" xfId="0" applyFont="1" applyBorder="1"/>
    <xf numFmtId="2" fontId="8" fillId="0" borderId="6" xfId="0" applyNumberFormat="1" applyFont="1" applyBorder="1"/>
    <xf numFmtId="0" fontId="9" fillId="0" borderId="2" xfId="0" applyFont="1" applyFill="1" applyBorder="1"/>
    <xf numFmtId="165" fontId="8" fillId="0" borderId="5" xfId="0" applyNumberFormat="1" applyFont="1" applyFill="1" applyBorder="1"/>
    <xf numFmtId="165" fontId="14" fillId="0" borderId="2" xfId="0" quotePrefix="1" applyNumberFormat="1" applyFont="1" applyFill="1" applyBorder="1" applyAlignment="1">
      <alignment horizontal="right"/>
    </xf>
    <xf numFmtId="1" fontId="14" fillId="0" borderId="2" xfId="0" quotePrefix="1" applyNumberFormat="1" applyFont="1" applyFill="1" applyBorder="1" applyAlignment="1">
      <alignment horizontal="right"/>
    </xf>
    <xf numFmtId="0" fontId="9" fillId="0" borderId="0" xfId="0" applyFont="1" applyFill="1" applyBorder="1"/>
    <xf numFmtId="0" fontId="9" fillId="0" borderId="5" xfId="0" applyFont="1" applyFill="1" applyBorder="1"/>
    <xf numFmtId="165" fontId="9" fillId="0" borderId="2" xfId="0" applyNumberFormat="1" applyFont="1" applyFill="1" applyBorder="1" applyAlignment="1">
      <alignment horizontal="left"/>
    </xf>
    <xf numFmtId="14" fontId="12" fillId="0" borderId="2" xfId="0" applyNumberFormat="1" applyFont="1" applyBorder="1" applyAlignment="1">
      <alignment horizontal="right"/>
    </xf>
    <xf numFmtId="164" fontId="20" fillId="0" borderId="0" xfId="0" applyNumberFormat="1" applyFont="1"/>
    <xf numFmtId="0" fontId="16" fillId="0" borderId="0" xfId="0" applyFont="1" applyFill="1"/>
    <xf numFmtId="0" fontId="9" fillId="0" borderId="2" xfId="0" applyFont="1" applyBorder="1" applyAlignment="1">
      <alignment horizontal="right"/>
    </xf>
    <xf numFmtId="165" fontId="9" fillId="0" borderId="2" xfId="0" quotePrefix="1" applyNumberFormat="1" applyFont="1" applyBorder="1" applyAlignment="1">
      <alignment horizontal="right"/>
    </xf>
    <xf numFmtId="2" fontId="8" fillId="0" borderId="6" xfId="0" applyNumberFormat="1" applyFont="1" applyFill="1" applyBorder="1"/>
    <xf numFmtId="164" fontId="0" fillId="0" borderId="6" xfId="0" applyNumberFormat="1" applyBorder="1"/>
    <xf numFmtId="0" fontId="0" fillId="0" borderId="6" xfId="0" applyBorder="1"/>
    <xf numFmtId="165" fontId="0" fillId="0" borderId="6" xfId="0" applyNumberFormat="1" applyBorder="1"/>
    <xf numFmtId="164" fontId="8" fillId="0" borderId="5" xfId="0" applyNumberFormat="1" applyFont="1" applyFill="1" applyBorder="1"/>
    <xf numFmtId="4" fontId="0" fillId="0" borderId="2" xfId="0" applyNumberFormat="1" applyBorder="1"/>
    <xf numFmtId="165" fontId="8" fillId="0" borderId="6" xfId="0" applyNumberFormat="1" applyFont="1" applyBorder="1"/>
    <xf numFmtId="0" fontId="23" fillId="0" borderId="0" xfId="0" applyFont="1"/>
    <xf numFmtId="0" fontId="4" fillId="0" borderId="0" xfId="0" applyFont="1" applyAlignment="1">
      <alignment horizontal="right"/>
    </xf>
    <xf numFmtId="0" fontId="23" fillId="0" borderId="0" xfId="0" applyFont="1" applyFill="1"/>
    <xf numFmtId="3" fontId="8" fillId="0" borderId="0" xfId="0" applyNumberFormat="1" applyFont="1" applyBorder="1"/>
    <xf numFmtId="3" fontId="8" fillId="0" borderId="0" xfId="0" applyNumberFormat="1" applyFont="1" applyFill="1" applyBorder="1"/>
    <xf numFmtId="0" fontId="9" fillId="0" borderId="6" xfId="0" applyFont="1" applyFill="1" applyBorder="1"/>
    <xf numFmtId="165" fontId="8" fillId="0" borderId="6" xfId="0" applyNumberFormat="1" applyFont="1" applyFill="1" applyBorder="1"/>
    <xf numFmtId="0" fontId="8" fillId="0" borderId="6" xfId="0" applyFont="1" applyFill="1" applyBorder="1"/>
    <xf numFmtId="4" fontId="0" fillId="0" borderId="0" xfId="0" applyNumberFormat="1"/>
    <xf numFmtId="3" fontId="0" fillId="0" borderId="0" xfId="0" applyNumberFormat="1"/>
    <xf numFmtId="0" fontId="24" fillId="0" borderId="0" xfId="0" applyFont="1"/>
    <xf numFmtId="168" fontId="22" fillId="0" borderId="0" xfId="0" applyNumberFormat="1" applyFont="1"/>
    <xf numFmtId="0" fontId="22" fillId="0" borderId="0" xfId="0" applyFont="1"/>
    <xf numFmtId="164" fontId="25" fillId="0" borderId="0" xfId="0" applyNumberFormat="1" applyFont="1"/>
    <xf numFmtId="164" fontId="4" fillId="0" borderId="0" xfId="0" applyNumberFormat="1" applyFont="1"/>
    <xf numFmtId="164" fontId="13" fillId="0" borderId="0" xfId="0" applyNumberFormat="1" applyFont="1"/>
    <xf numFmtId="165" fontId="13" fillId="0" borderId="0" xfId="0" applyNumberFormat="1" applyFont="1"/>
    <xf numFmtId="165" fontId="26" fillId="0" borderId="0" xfId="0" applyNumberFormat="1" applyFont="1" applyFill="1"/>
    <xf numFmtId="165" fontId="7" fillId="0" borderId="2" xfId="0" applyNumberFormat="1" applyFont="1" applyFill="1" applyBorder="1"/>
    <xf numFmtId="164" fontId="7" fillId="0" borderId="0" xfId="0" applyNumberFormat="1" applyFont="1" applyFill="1"/>
    <xf numFmtId="164" fontId="26" fillId="0" borderId="0" xfId="0" applyNumberFormat="1" applyFont="1" applyFill="1"/>
    <xf numFmtId="0" fontId="26" fillId="0" borderId="2" xfId="0" applyFont="1" applyBorder="1"/>
    <xf numFmtId="164" fontId="4" fillId="0" borderId="2" xfId="0" applyNumberFormat="1" applyFont="1" applyFill="1" applyBorder="1"/>
    <xf numFmtId="164" fontId="8" fillId="0" borderId="0" xfId="0" applyNumberFormat="1" applyFont="1" applyFill="1" applyBorder="1"/>
    <xf numFmtId="0" fontId="0" fillId="3" borderId="0" xfId="0" applyFill="1"/>
    <xf numFmtId="0" fontId="4" fillId="0" borderId="0" xfId="0" applyFont="1" applyAlignment="1">
      <alignment horizontal="left"/>
    </xf>
    <xf numFmtId="0" fontId="0" fillId="3" borderId="0" xfId="0" applyFill="1" applyAlignment="1">
      <alignment horizontal="left"/>
    </xf>
    <xf numFmtId="14" fontId="0" fillId="3" borderId="0" xfId="0" applyNumberFormat="1" applyFill="1" applyAlignment="1">
      <alignment horizontal="left"/>
    </xf>
    <xf numFmtId="0" fontId="21" fillId="0" borderId="0" xfId="0" applyFont="1"/>
    <xf numFmtId="0" fontId="27" fillId="0" borderId="0" xfId="0" applyFont="1" applyAlignment="1">
      <alignment horizontal="right"/>
    </xf>
    <xf numFmtId="166" fontId="27" fillId="0" borderId="0" xfId="0" applyNumberFormat="1" applyFont="1"/>
    <xf numFmtId="0" fontId="0" fillId="0" borderId="0" xfId="0" applyAlignment="1">
      <alignment horizontal="left"/>
    </xf>
    <xf numFmtId="166" fontId="27" fillId="0" borderId="0" xfId="0" applyNumberFormat="1" applyFont="1" applyAlignment="1">
      <alignment horizontal="left"/>
    </xf>
    <xf numFmtId="0" fontId="28" fillId="0" borderId="0" xfId="0" applyFont="1"/>
    <xf numFmtId="0" fontId="28" fillId="0" borderId="0" xfId="0" applyFont="1" applyAlignment="1">
      <alignment horizontal="left"/>
    </xf>
    <xf numFmtId="0" fontId="8" fillId="0" borderId="7" xfId="0" applyFont="1" applyBorder="1"/>
    <xf numFmtId="0" fontId="8" fillId="0" borderId="5" xfId="0" applyFont="1" applyBorder="1"/>
    <xf numFmtId="0" fontId="8" fillId="0" borderId="8" xfId="0" applyFont="1" applyBorder="1"/>
    <xf numFmtId="0" fontId="8" fillId="0" borderId="9" xfId="0" applyFont="1" applyBorder="1"/>
    <xf numFmtId="0" fontId="8" fillId="0" borderId="7" xfId="0" applyFont="1" applyBorder="1" applyAlignment="1">
      <alignment horizontal="left"/>
    </xf>
    <xf numFmtId="0" fontId="8" fillId="0" borderId="10" xfId="0" applyFont="1" applyBorder="1" applyAlignment="1">
      <alignment horizontal="left"/>
    </xf>
    <xf numFmtId="0" fontId="8" fillId="0" borderId="11" xfId="0" applyFont="1" applyBorder="1"/>
    <xf numFmtId="0" fontId="8" fillId="0" borderId="12" xfId="0" applyFont="1" applyBorder="1" applyAlignment="1">
      <alignment horizontal="left"/>
    </xf>
    <xf numFmtId="0" fontId="8" fillId="0" borderId="8" xfId="0" applyFont="1" applyBorder="1" applyAlignment="1">
      <alignment horizontal="left"/>
    </xf>
    <xf numFmtId="0" fontId="8" fillId="0" borderId="13" xfId="0" applyFont="1" applyBorder="1"/>
    <xf numFmtId="0" fontId="0" fillId="0" borderId="14" xfId="0" applyBorder="1" applyAlignment="1">
      <alignment horizontal="left"/>
    </xf>
    <xf numFmtId="164" fontId="0" fillId="0" borderId="0" xfId="0" applyNumberFormat="1" applyFill="1" applyBorder="1"/>
    <xf numFmtId="0" fontId="29" fillId="0" borderId="0" xfId="0" applyFont="1" applyBorder="1"/>
    <xf numFmtId="0" fontId="29" fillId="0" borderId="0" xfId="0" applyFont="1" applyBorder="1" applyAlignment="1">
      <alignment horizontal="left"/>
    </xf>
    <xf numFmtId="164" fontId="4" fillId="4" borderId="2" xfId="0" applyNumberFormat="1" applyFont="1" applyFill="1" applyBorder="1"/>
    <xf numFmtId="0" fontId="0" fillId="4" borderId="0" xfId="0" applyFill="1"/>
    <xf numFmtId="0" fontId="12" fillId="4" borderId="0" xfId="0" applyFont="1" applyFill="1"/>
    <xf numFmtId="165" fontId="30" fillId="0" borderId="0" xfId="0" applyNumberFormat="1" applyFont="1" applyBorder="1" applyAlignment="1">
      <alignment horizontal="left"/>
    </xf>
    <xf numFmtId="164" fontId="0" fillId="4" borderId="0" xfId="0" applyNumberFormat="1" applyFill="1"/>
    <xf numFmtId="164" fontId="0" fillId="4" borderId="2" xfId="0" applyNumberFormat="1" applyFill="1" applyBorder="1"/>
    <xf numFmtId="164" fontId="8" fillId="0" borderId="5" xfId="0" applyNumberFormat="1" applyFont="1" applyBorder="1"/>
    <xf numFmtId="165" fontId="0" fillId="0" borderId="2" xfId="0" applyNumberFormat="1" applyFill="1" applyBorder="1"/>
    <xf numFmtId="168" fontId="13" fillId="0" borderId="0" xfId="0" applyNumberFormat="1" applyFont="1"/>
    <xf numFmtId="2" fontId="31" fillId="0" borderId="0" xfId="0" applyNumberFormat="1" applyFont="1"/>
    <xf numFmtId="165" fontId="4" fillId="0" borderId="0" xfId="0" applyNumberFormat="1" applyFont="1" applyFill="1"/>
    <xf numFmtId="165" fontId="10" fillId="0" borderId="0" xfId="0" applyNumberFormat="1" applyFont="1" applyFill="1"/>
    <xf numFmtId="165" fontId="4" fillId="4" borderId="0" xfId="0" applyNumberFormat="1" applyFont="1" applyFill="1"/>
    <xf numFmtId="165" fontId="10" fillId="4" borderId="0" xfId="0" applyNumberFormat="1" applyFont="1" applyFill="1"/>
    <xf numFmtId="165" fontId="8" fillId="4" borderId="2" xfId="0" applyNumberFormat="1" applyFont="1" applyFill="1" applyBorder="1"/>
    <xf numFmtId="165" fontId="8" fillId="4" borderId="0" xfId="0" applyNumberFormat="1" applyFont="1" applyFill="1"/>
    <xf numFmtId="0" fontId="0" fillId="36" borderId="0" xfId="0" applyFill="1"/>
    <xf numFmtId="0" fontId="8" fillId="36" borderId="0" xfId="3" applyNumberFormat="1" applyFont="1" applyFill="1" applyAlignment="1">
      <alignment horizontal="left" wrapText="1"/>
    </xf>
    <xf numFmtId="0" fontId="0" fillId="36" borderId="0" xfId="0" applyNumberFormat="1" applyFill="1"/>
    <xf numFmtId="1" fontId="9" fillId="36" borderId="2" xfId="74" quotePrefix="1" applyNumberFormat="1" applyFont="1" applyFill="1" applyBorder="1" applyAlignment="1">
      <alignment horizontal="right"/>
    </xf>
    <xf numFmtId="0" fontId="8" fillId="36" borderId="26" xfId="3" applyNumberFormat="1" applyFont="1" applyFill="1" applyBorder="1" applyAlignment="1">
      <alignment horizontal="left" wrapText="1"/>
    </xf>
    <xf numFmtId="0" fontId="34" fillId="36" borderId="0" xfId="3" applyNumberFormat="1" applyFont="1" applyFill="1" applyAlignment="1">
      <alignment horizontal="right"/>
    </xf>
    <xf numFmtId="0" fontId="34" fillId="36" borderId="0" xfId="3" applyNumberFormat="1" applyFont="1" applyFill="1" applyAlignment="1">
      <alignment horizontal="left"/>
    </xf>
    <xf numFmtId="49" fontId="34" fillId="36" borderId="0" xfId="3" applyNumberFormat="1" applyFont="1" applyFill="1" applyBorder="1" applyAlignment="1">
      <alignment horizontal="left"/>
    </xf>
    <xf numFmtId="3" fontId="34" fillId="36" borderId="0" xfId="3" applyNumberFormat="1" applyFont="1" applyFill="1" applyBorder="1" applyAlignment="1">
      <alignment horizontal="right"/>
    </xf>
    <xf numFmtId="1" fontId="34" fillId="36" borderId="0" xfId="3" applyNumberFormat="1" applyFont="1" applyFill="1" applyBorder="1" applyAlignment="1">
      <alignment horizontal="right"/>
    </xf>
    <xf numFmtId="49" fontId="34" fillId="36" borderId="0" xfId="3" applyNumberFormat="1" applyFont="1" applyFill="1" applyAlignment="1">
      <alignment horizontal="left"/>
    </xf>
    <xf numFmtId="3" fontId="34" fillId="36" borderId="0" xfId="3" applyNumberFormat="1" applyFont="1" applyFill="1" applyAlignment="1">
      <alignment horizontal="right"/>
    </xf>
    <xf numFmtId="1" fontId="34" fillId="36" borderId="0" xfId="3" applyNumberFormat="1" applyFont="1" applyFill="1" applyAlignment="1">
      <alignment horizontal="right"/>
    </xf>
    <xf numFmtId="0" fontId="34" fillId="36" borderId="0" xfId="3" applyFont="1" applyFill="1" applyAlignment="1">
      <alignment horizontal="right"/>
    </xf>
    <xf numFmtId="0" fontId="8" fillId="36" borderId="0" xfId="72" applyNumberFormat="1" applyFont="1" applyFill="1" applyAlignment="1">
      <alignment horizontal="left"/>
    </xf>
    <xf numFmtId="0" fontId="8" fillId="36" borderId="0" xfId="0" applyNumberFormat="1" applyFont="1" applyFill="1" applyAlignment="1">
      <alignment horizontal="left"/>
    </xf>
    <xf numFmtId="0" fontId="8" fillId="36" borderId="0" xfId="0" applyNumberFormat="1" applyFont="1" applyFill="1" applyAlignment="1">
      <alignment horizontal="right"/>
    </xf>
    <xf numFmtId="0" fontId="8" fillId="36" borderId="0" xfId="64" applyNumberFormat="1" applyFont="1" applyFill="1" applyBorder="1" applyAlignment="1">
      <alignment horizontal="right"/>
    </xf>
    <xf numFmtId="0" fontId="8" fillId="36" borderId="0" xfId="2" applyNumberFormat="1" applyFont="1" applyFill="1" applyAlignment="1">
      <alignment horizontal="left"/>
    </xf>
    <xf numFmtId="0" fontId="8" fillId="36" borderId="0" xfId="2" applyNumberFormat="1" applyFont="1" applyFill="1" applyAlignment="1">
      <alignment horizontal="right"/>
    </xf>
    <xf numFmtId="49" fontId="8" fillId="36" borderId="0" xfId="0" applyNumberFormat="1" applyFont="1" applyFill="1" applyAlignment="1">
      <alignment horizontal="left"/>
    </xf>
    <xf numFmtId="0" fontId="8" fillId="36" borderId="0" xfId="0" applyNumberFormat="1" applyFont="1" applyFill="1" applyAlignment="1">
      <alignment wrapText="1"/>
    </xf>
    <xf numFmtId="0" fontId="8" fillId="36" borderId="0" xfId="0" applyNumberFormat="1" applyFont="1" applyFill="1" applyBorder="1" applyAlignment="1">
      <alignment horizontal="left"/>
    </xf>
    <xf numFmtId="49" fontId="8" fillId="36" borderId="0" xfId="0" applyNumberFormat="1" applyFont="1" applyFill="1" applyBorder="1" applyAlignment="1">
      <alignment horizontal="left"/>
    </xf>
    <xf numFmtId="0" fontId="8" fillId="36" borderId="0" xfId="2" applyNumberFormat="1" applyFont="1" applyFill="1" applyAlignment="1">
      <alignment wrapText="1"/>
    </xf>
    <xf numFmtId="0" fontId="8" fillId="36" borderId="0" xfId="0" applyNumberFormat="1" applyFont="1" applyFill="1" applyAlignment="1">
      <alignment wrapText="1"/>
    </xf>
    <xf numFmtId="49" fontId="8" fillId="36" borderId="0" xfId="0" applyNumberFormat="1" applyFont="1" applyFill="1" applyAlignment="1">
      <alignment horizontal="right"/>
    </xf>
    <xf numFmtId="0" fontId="8" fillId="36" borderId="0" xfId="0" applyFont="1" applyFill="1" applyAlignment="1">
      <alignment horizontal="right"/>
    </xf>
    <xf numFmtId="1" fontId="9" fillId="36" borderId="2" xfId="74" applyNumberFormat="1" applyFont="1" applyFill="1" applyBorder="1" applyAlignment="1">
      <alignment horizontal="right"/>
    </xf>
    <xf numFmtId="0" fontId="8" fillId="36" borderId="26" xfId="0" applyNumberFormat="1" applyFont="1" applyFill="1" applyBorder="1" applyAlignment="1">
      <alignment horizontal="left"/>
    </xf>
    <xf numFmtId="0" fontId="34" fillId="36" borderId="0" xfId="72" applyNumberFormat="1" applyFont="1" applyFill="1" applyAlignment="1"/>
    <xf numFmtId="0" fontId="34" fillId="36" borderId="0" xfId="3" applyNumberFormat="1" applyFont="1" applyFill="1" applyAlignment="1">
      <alignment horizontal="left" wrapText="1"/>
    </xf>
    <xf numFmtId="0" fontId="9" fillId="36" borderId="0" xfId="67" applyNumberFormat="1" applyFont="1" applyFill="1" applyBorder="1" applyAlignment="1">
      <alignment horizontal="right"/>
    </xf>
    <xf numFmtId="0" fontId="8" fillId="36" borderId="0" xfId="65" applyNumberFormat="1" applyFont="1" applyFill="1" applyBorder="1" applyAlignment="1">
      <alignment horizontal="right"/>
    </xf>
    <xf numFmtId="0" fontId="0" fillId="36" borderId="0" xfId="0" applyFill="1" applyBorder="1"/>
    <xf numFmtId="0" fontId="34" fillId="36" borderId="0" xfId="3" applyFont="1" applyFill="1"/>
    <xf numFmtId="0" fontId="34" fillId="36" borderId="0" xfId="3" applyFont="1" applyFill="1" applyBorder="1" applyAlignment="1">
      <alignment horizontal="left"/>
    </xf>
    <xf numFmtId="0" fontId="34" fillId="36" borderId="0" xfId="3" applyFont="1" applyFill="1" applyAlignment="1">
      <alignment horizontal="left"/>
    </xf>
    <xf numFmtId="0" fontId="8" fillId="36" borderId="0" xfId="0" applyFont="1" applyFill="1"/>
    <xf numFmtId="0" fontId="8" fillId="36" borderId="0" xfId="67" applyNumberFormat="1" applyFont="1" applyFill="1" applyBorder="1" applyAlignment="1">
      <alignment horizontal="right"/>
    </xf>
    <xf numFmtId="49" fontId="9" fillId="36" borderId="0" xfId="0" applyNumberFormat="1" applyFont="1" applyFill="1" applyBorder="1" applyAlignment="1">
      <alignment horizontal="left"/>
    </xf>
    <xf numFmtId="0" fontId="9" fillId="36" borderId="0" xfId="0" applyNumberFormat="1" applyFont="1" applyFill="1" applyBorder="1" applyAlignment="1">
      <alignment horizontal="left"/>
    </xf>
    <xf numFmtId="0" fontId="8" fillId="36" borderId="0" xfId="0" applyNumberFormat="1" applyFont="1" applyFill="1" applyAlignment="1">
      <alignment horizontal="right" vertical="center" wrapText="1"/>
    </xf>
    <xf numFmtId="0" fontId="8" fillId="36" borderId="0" xfId="0" applyFont="1" applyFill="1" applyBorder="1"/>
    <xf numFmtId="49" fontId="9" fillId="36" borderId="0" xfId="63" applyNumberFormat="1" applyFont="1" applyFill="1" applyBorder="1" applyAlignment="1">
      <alignment horizontal="left"/>
    </xf>
    <xf numFmtId="0" fontId="9" fillId="36" borderId="0" xfId="63" applyNumberFormat="1" applyFont="1" applyFill="1" applyBorder="1" applyAlignment="1">
      <alignment horizontal="left"/>
    </xf>
    <xf numFmtId="0" fontId="8" fillId="36" borderId="0" xfId="63" applyNumberFormat="1" applyFont="1" applyFill="1" applyAlignment="1"/>
    <xf numFmtId="49" fontId="8" fillId="36" borderId="28" xfId="0" applyNumberFormat="1" applyFont="1" applyFill="1" applyBorder="1" applyAlignment="1">
      <alignment horizontal="left"/>
    </xf>
    <xf numFmtId="0" fontId="8" fillId="36" borderId="28" xfId="0" applyNumberFormat="1" applyFont="1" applyFill="1" applyBorder="1" applyAlignment="1">
      <alignment horizontal="left"/>
    </xf>
    <xf numFmtId="0" fontId="9" fillId="36" borderId="0" xfId="74" applyNumberFormat="1" applyFont="1" applyFill="1" applyBorder="1" applyAlignment="1">
      <alignment horizontal="right"/>
    </xf>
    <xf numFmtId="0" fontId="46" fillId="36" borderId="0" xfId="72" applyNumberFormat="1" applyFont="1" applyFill="1" applyBorder="1" applyAlignment="1">
      <alignment horizontal="left"/>
    </xf>
    <xf numFmtId="0" fontId="42" fillId="36" borderId="0" xfId="0" applyNumberFormat="1" applyFont="1" applyFill="1" applyBorder="1" applyAlignment="1">
      <alignment horizontal="left"/>
    </xf>
    <xf numFmtId="0" fontId="8" fillId="36" borderId="0" xfId="73" applyNumberFormat="1" applyFont="1" applyFill="1" applyAlignment="1">
      <alignment horizontal="right"/>
    </xf>
    <xf numFmtId="0" fontId="8" fillId="36" borderId="0" xfId="66" applyNumberFormat="1" applyFont="1" applyFill="1" applyBorder="1" applyAlignment="1">
      <alignment horizontal="right"/>
    </xf>
    <xf numFmtId="0" fontId="8" fillId="36" borderId="0" xfId="0" applyNumberFormat="1" applyFont="1" applyFill="1" applyBorder="1" applyAlignment="1">
      <alignment horizontal="right"/>
    </xf>
    <xf numFmtId="0" fontId="53" fillId="36" borderId="0" xfId="0" applyNumberFormat="1" applyFont="1" applyFill="1" applyBorder="1" applyAlignment="1">
      <alignment horizontal="right"/>
    </xf>
    <xf numFmtId="0" fontId="9" fillId="36" borderId="0" xfId="0" applyNumberFormat="1" applyFont="1" applyFill="1" applyAlignment="1">
      <alignment horizontal="left"/>
    </xf>
    <xf numFmtId="0" fontId="9" fillId="36" borderId="0" xfId="0" applyNumberFormat="1" applyFont="1" applyFill="1" applyAlignment="1">
      <alignment horizontal="right"/>
    </xf>
    <xf numFmtId="169" fontId="8" fillId="36" borderId="0" xfId="0" applyNumberFormat="1" applyFont="1" applyFill="1" applyAlignment="1">
      <alignment horizontal="right"/>
    </xf>
    <xf numFmtId="3" fontId="11" fillId="36" borderId="0" xfId="1" applyNumberFormat="1" applyFill="1" applyBorder="1" applyAlignment="1" applyProtection="1">
      <alignment horizontal="right"/>
    </xf>
    <xf numFmtId="49" fontId="40" fillId="36" borderId="0" xfId="0" applyNumberFormat="1" applyFont="1" applyFill="1" applyBorder="1" applyAlignment="1">
      <alignment horizontal="left"/>
    </xf>
    <xf numFmtId="3" fontId="41" fillId="36" borderId="0" xfId="3" applyNumberFormat="1" applyFont="1" applyFill="1" applyBorder="1" applyAlignment="1">
      <alignment horizontal="right"/>
    </xf>
    <xf numFmtId="3" fontId="41" fillId="36" borderId="0" xfId="3" applyNumberFormat="1" applyFont="1" applyFill="1" applyBorder="1" applyAlignment="1">
      <alignment horizontal="right" wrapText="1"/>
    </xf>
    <xf numFmtId="3" fontId="40" fillId="36" borderId="0" xfId="3" applyNumberFormat="1" applyFont="1" applyFill="1" applyBorder="1" applyAlignment="1">
      <alignment horizontal="right"/>
    </xf>
    <xf numFmtId="2" fontId="9" fillId="36" borderId="0" xfId="0" applyNumberFormat="1" applyFont="1" applyFill="1" applyBorder="1" applyAlignment="1">
      <alignment horizontal="left"/>
    </xf>
    <xf numFmtId="171" fontId="40" fillId="36" borderId="0" xfId="3" applyNumberFormat="1" applyFont="1" applyFill="1" applyBorder="1" applyAlignment="1">
      <alignment horizontal="right"/>
    </xf>
    <xf numFmtId="170" fontId="41" fillId="36" borderId="0" xfId="3" applyNumberFormat="1" applyFont="1" applyFill="1" applyBorder="1" applyAlignment="1">
      <alignment horizontal="right" wrapText="1"/>
    </xf>
    <xf numFmtId="171" fontId="34" fillId="36" borderId="0" xfId="3" applyNumberFormat="1" applyFont="1" applyFill="1" applyAlignment="1">
      <alignment horizontal="right"/>
    </xf>
    <xf numFmtId="170" fontId="34" fillId="36" borderId="0" xfId="3" applyNumberFormat="1" applyFont="1" applyFill="1" applyAlignment="1">
      <alignment horizontal="right"/>
    </xf>
    <xf numFmtId="0" fontId="42" fillId="36" borderId="0" xfId="3" applyNumberFormat="1" applyFont="1" applyFill="1" applyBorder="1" applyAlignment="1">
      <alignment horizontal="left"/>
    </xf>
    <xf numFmtId="4" fontId="34" fillId="36" borderId="0" xfId="3" applyNumberFormat="1" applyFont="1" applyFill="1" applyAlignment="1">
      <alignment horizontal="right"/>
    </xf>
    <xf numFmtId="49" fontId="9" fillId="36" borderId="2" xfId="74" applyNumberFormat="1" applyFont="1" applyFill="1" applyBorder="1" applyAlignment="1">
      <alignment horizontal="right" wrapText="1"/>
    </xf>
    <xf numFmtId="49" fontId="54" fillId="36" borderId="30" xfId="74" applyNumberFormat="1" applyFont="1" applyFill="1" applyBorder="1" applyAlignment="1">
      <alignment horizontal="right" wrapText="1"/>
    </xf>
    <xf numFmtId="0" fontId="8" fillId="36" borderId="0" xfId="0" applyNumberFormat="1" applyFont="1" applyFill="1" applyAlignment="1">
      <alignment wrapText="1"/>
    </xf>
    <xf numFmtId="0" fontId="45" fillId="36" borderId="0" xfId="4" applyNumberFormat="1" applyFont="1" applyFill="1" applyAlignment="1">
      <alignment horizontal="left"/>
    </xf>
    <xf numFmtId="0" fontId="31" fillId="36" borderId="0" xfId="4" applyNumberFormat="1" applyFont="1" applyFill="1" applyAlignment="1">
      <alignment horizontal="right"/>
    </xf>
    <xf numFmtId="0" fontId="37" fillId="36" borderId="0" xfId="4" applyNumberFormat="1" applyFont="1" applyFill="1" applyAlignment="1">
      <alignment horizontal="right"/>
    </xf>
    <xf numFmtId="0" fontId="37" fillId="36" borderId="0" xfId="4" applyNumberFormat="1" applyFont="1" applyFill="1" applyBorder="1" applyAlignment="1">
      <alignment horizontal="right"/>
    </xf>
    <xf numFmtId="0" fontId="8" fillId="36" borderId="0" xfId="4" applyNumberFormat="1" applyFont="1" applyFill="1" applyAlignment="1">
      <alignment horizontal="left" wrapText="1"/>
    </xf>
    <xf numFmtId="0" fontId="9" fillId="36" borderId="0" xfId="0" applyNumberFormat="1" applyFont="1" applyFill="1" applyAlignment="1">
      <alignment horizontal="right" wrapText="1"/>
    </xf>
    <xf numFmtId="0" fontId="8" fillId="36" borderId="0" xfId="0" applyNumberFormat="1" applyFont="1" applyFill="1" applyAlignment="1">
      <alignment horizontal="right" wrapText="1"/>
    </xf>
    <xf numFmtId="49" fontId="8" fillId="36" borderId="0" xfId="0" applyNumberFormat="1" applyFont="1" applyFill="1" applyAlignment="1">
      <alignment horizontal="left"/>
    </xf>
    <xf numFmtId="0" fontId="38" fillId="36" borderId="0" xfId="4" applyNumberFormat="1" applyFont="1" applyFill="1" applyAlignment="1">
      <alignment horizontal="left" wrapText="1"/>
    </xf>
    <xf numFmtId="1" fontId="38" fillId="36" borderId="0" xfId="4" applyNumberFormat="1" applyFont="1" applyFill="1" applyAlignment="1">
      <alignment horizontal="left"/>
    </xf>
    <xf numFmtId="0" fontId="44" fillId="36" borderId="0" xfId="65" applyNumberFormat="1" applyFont="1" applyFill="1" applyBorder="1" applyAlignment="1">
      <alignment horizontal="right"/>
    </xf>
    <xf numFmtId="0" fontId="38" fillId="36" borderId="0" xfId="65" applyNumberFormat="1" applyFont="1" applyFill="1" applyBorder="1" applyAlignment="1">
      <alignment horizontal="right"/>
    </xf>
    <xf numFmtId="49" fontId="8" fillId="36" borderId="0" xfId="4" applyNumberFormat="1" applyFont="1" applyFill="1" applyAlignment="1">
      <alignment horizontal="left"/>
    </xf>
    <xf numFmtId="49" fontId="8" fillId="36" borderId="0" xfId="4" applyNumberFormat="1" applyFont="1" applyFill="1" applyAlignment="1">
      <alignment horizontal="left" wrapText="1"/>
    </xf>
    <xf numFmtId="0" fontId="8" fillId="36" borderId="0" xfId="4" applyNumberFormat="1" applyFont="1" applyFill="1" applyAlignment="1">
      <alignment horizontal="left"/>
    </xf>
    <xf numFmtId="0" fontId="8" fillId="36" borderId="0" xfId="4" applyNumberFormat="1" applyFont="1" applyFill="1" applyBorder="1" applyAlignment="1">
      <alignment horizontal="right"/>
    </xf>
    <xf numFmtId="0" fontId="8" fillId="36" borderId="0" xfId="4" applyNumberFormat="1" applyFont="1" applyFill="1" applyAlignment="1">
      <alignment horizontal="right"/>
    </xf>
    <xf numFmtId="0" fontId="9" fillId="36" borderId="0" xfId="4" applyNumberFormat="1" applyFont="1" applyFill="1" applyBorder="1" applyAlignment="1">
      <alignment horizontal="right"/>
    </xf>
    <xf numFmtId="3" fontId="8" fillId="36" borderId="0" xfId="4" applyNumberFormat="1" applyFont="1" applyFill="1" applyBorder="1" applyAlignment="1">
      <alignment horizontal="right"/>
    </xf>
    <xf numFmtId="3" fontId="8" fillId="36" borderId="0" xfId="4" applyNumberFormat="1" applyFont="1" applyFill="1" applyAlignment="1">
      <alignment horizontal="right"/>
    </xf>
    <xf numFmtId="0" fontId="9" fillId="36" borderId="0" xfId="4" applyNumberFormat="1" applyFont="1" applyFill="1" applyAlignment="1">
      <alignment horizontal="left"/>
    </xf>
    <xf numFmtId="0" fontId="9" fillId="36" borderId="0" xfId="0" applyNumberFormat="1" applyFont="1" applyFill="1" applyAlignment="1">
      <alignment wrapText="1"/>
    </xf>
    <xf numFmtId="0" fontId="9" fillId="36" borderId="0" xfId="4" applyNumberFormat="1" applyFont="1" applyFill="1" applyAlignment="1">
      <alignment horizontal="right"/>
    </xf>
    <xf numFmtId="0" fontId="9" fillId="36" borderId="0" xfId="4" applyNumberFormat="1" applyFont="1" applyFill="1" applyAlignment="1">
      <alignment horizontal="left" wrapText="1"/>
    </xf>
    <xf numFmtId="49" fontId="8" fillId="36" borderId="0" xfId="4" applyNumberFormat="1" applyFont="1" applyFill="1" applyBorder="1" applyAlignment="1">
      <alignment horizontal="left"/>
    </xf>
    <xf numFmtId="49" fontId="9" fillId="36" borderId="30" xfId="74" applyNumberFormat="1" applyFont="1" applyFill="1" applyBorder="1" applyAlignment="1">
      <alignment horizontal="left"/>
    </xf>
    <xf numFmtId="49" fontId="9" fillId="36" borderId="30" xfId="74" applyNumberFormat="1" applyFont="1" applyFill="1" applyBorder="1" applyAlignment="1">
      <alignment horizontal="right" wrapText="1"/>
    </xf>
    <xf numFmtId="49" fontId="9" fillId="36" borderId="30" xfId="74" applyNumberFormat="1" applyFont="1" applyFill="1" applyBorder="1" applyAlignment="1">
      <alignment horizontal="right" vertical="top" wrapText="1"/>
    </xf>
    <xf numFmtId="0" fontId="9" fillId="36" borderId="30" xfId="74" applyNumberFormat="1" applyFont="1" applyFill="1" applyBorder="1" applyAlignment="1">
      <alignment horizontal="right" wrapText="1"/>
    </xf>
    <xf numFmtId="0" fontId="9" fillId="36" borderId="30" xfId="74" applyNumberFormat="1" applyFont="1" applyFill="1" applyBorder="1" applyAlignment="1">
      <alignment horizontal="left"/>
    </xf>
    <xf numFmtId="1" fontId="9" fillId="36" borderId="30" xfId="74" applyNumberFormat="1" applyFont="1" applyFill="1" applyBorder="1" applyAlignment="1">
      <alignment horizontal="right"/>
    </xf>
    <xf numFmtId="0" fontId="48" fillId="36" borderId="0" xfId="4" applyNumberFormat="1" applyFont="1" applyFill="1" applyAlignment="1">
      <alignment horizontal="left"/>
    </xf>
    <xf numFmtId="0" fontId="31" fillId="36" borderId="0" xfId="69" applyNumberFormat="1" applyFont="1" applyFill="1" applyBorder="1" applyAlignment="1">
      <alignment horizontal="right"/>
    </xf>
    <xf numFmtId="0" fontId="8" fillId="36" borderId="0" xfId="4" applyNumberFormat="1" applyFont="1" applyFill="1" applyAlignment="1"/>
    <xf numFmtId="0" fontId="8" fillId="36" borderId="0" xfId="0" applyNumberFormat="1" applyFont="1" applyFill="1" applyAlignment="1"/>
    <xf numFmtId="0" fontId="8" fillId="36" borderId="0" xfId="4" applyNumberFormat="1" applyFont="1" applyFill="1" applyBorder="1" applyAlignment="1">
      <alignment horizontal="left" wrapText="1"/>
    </xf>
    <xf numFmtId="0" fontId="8" fillId="36" borderId="0" xfId="0" applyNumberFormat="1" applyFont="1" applyFill="1" applyAlignment="1">
      <alignment horizontal="left" wrapText="1"/>
    </xf>
    <xf numFmtId="49" fontId="8" fillId="36" borderId="0" xfId="4" applyNumberFormat="1" applyFont="1" applyFill="1" applyBorder="1" applyAlignment="1">
      <alignment horizontal="left" wrapText="1"/>
    </xf>
    <xf numFmtId="1" fontId="9" fillId="36" borderId="0" xfId="0" applyNumberFormat="1" applyFont="1" applyFill="1" applyAlignment="1">
      <alignment horizontal="left"/>
    </xf>
    <xf numFmtId="0" fontId="8" fillId="36" borderId="0" xfId="69" applyNumberFormat="1" applyFont="1" applyFill="1" applyBorder="1" applyAlignment="1">
      <alignment horizontal="right"/>
    </xf>
    <xf numFmtId="0" fontId="9" fillId="36" borderId="0" xfId="0" applyNumberFormat="1" applyFont="1" applyFill="1" applyBorder="1" applyAlignment="1">
      <alignment horizontal="right"/>
    </xf>
    <xf numFmtId="0" fontId="21" fillId="36" borderId="0" xfId="0" applyNumberFormat="1" applyFont="1" applyFill="1" applyAlignment="1">
      <alignment horizontal="left"/>
    </xf>
    <xf numFmtId="0" fontId="21" fillId="36" borderId="0" xfId="0" applyNumberFormat="1" applyFont="1" applyFill="1" applyBorder="1" applyAlignment="1">
      <alignment horizontal="right"/>
    </xf>
    <xf numFmtId="0" fontId="52" fillId="36" borderId="0" xfId="0" applyNumberFormat="1" applyFont="1" applyFill="1" applyAlignment="1">
      <alignment horizontal="left"/>
    </xf>
    <xf numFmtId="1" fontId="9" fillId="36" borderId="0" xfId="63" applyNumberFormat="1" applyFont="1" applyFill="1" applyAlignment="1">
      <alignment horizontal="left"/>
    </xf>
    <xf numFmtId="0" fontId="0" fillId="36" borderId="0" xfId="0" applyNumberFormat="1" applyFill="1" applyAlignment="1">
      <alignment horizontal="left"/>
    </xf>
    <xf numFmtId="49" fontId="38" fillId="36" borderId="0" xfId="4" applyNumberFormat="1" applyFont="1" applyFill="1" applyAlignment="1">
      <alignment horizontal="left"/>
    </xf>
    <xf numFmtId="0" fontId="48" fillId="36" borderId="0" xfId="0" applyNumberFormat="1" applyFont="1" applyFill="1" applyAlignment="1">
      <alignment horizontal="right"/>
    </xf>
    <xf numFmtId="0" fontId="48" fillId="36" borderId="0" xfId="73" applyNumberFormat="1" applyFont="1" applyFill="1" applyAlignment="1">
      <alignment horizontal="right"/>
    </xf>
    <xf numFmtId="0" fontId="48" fillId="36" borderId="0" xfId="64" applyNumberFormat="1" applyFont="1" applyFill="1" applyBorder="1" applyAlignment="1">
      <alignment horizontal="right"/>
    </xf>
    <xf numFmtId="0" fontId="38" fillId="36" borderId="0" xfId="73" applyNumberFormat="1" applyFont="1" applyFill="1" applyAlignment="1">
      <alignment horizontal="right"/>
    </xf>
    <xf numFmtId="3" fontId="8" fillId="36" borderId="0" xfId="0" applyNumberFormat="1" applyFont="1" applyFill="1" applyAlignment="1">
      <alignment horizontal="right"/>
    </xf>
    <xf numFmtId="0" fontId="8" fillId="36" borderId="0" xfId="4" applyNumberFormat="1" applyFont="1" applyFill="1"/>
    <xf numFmtId="0" fontId="37" fillId="36" borderId="0" xfId="4" applyNumberFormat="1" applyFont="1" applyFill="1" applyAlignment="1">
      <alignment horizontal="left"/>
    </xf>
    <xf numFmtId="0" fontId="37" fillId="36" borderId="0" xfId="66" applyNumberFormat="1" applyFont="1" applyFill="1" applyBorder="1" applyAlignment="1">
      <alignment horizontal="right"/>
    </xf>
    <xf numFmtId="0" fontId="37" fillId="36" borderId="0" xfId="64" applyNumberFormat="1" applyFont="1" applyFill="1" applyBorder="1" applyAlignment="1">
      <alignment horizontal="right"/>
    </xf>
    <xf numFmtId="0" fontId="9" fillId="36" borderId="0" xfId="4" applyNumberFormat="1" applyFont="1" applyFill="1" applyBorder="1" applyAlignment="1">
      <alignment horizontal="left"/>
    </xf>
    <xf numFmtId="164" fontId="8" fillId="36" borderId="0" xfId="4" applyNumberFormat="1" applyFont="1" applyFill="1" applyAlignment="1">
      <alignment horizontal="right"/>
    </xf>
    <xf numFmtId="3" fontId="9" fillId="36" borderId="0" xfId="63" applyNumberFormat="1" applyFont="1" applyFill="1" applyBorder="1" applyAlignment="1">
      <alignment horizontal="right"/>
    </xf>
    <xf numFmtId="0" fontId="8" fillId="36" borderId="0" xfId="0" applyFont="1" applyFill="1" applyAlignment="1">
      <alignment horizontal="left"/>
    </xf>
    <xf numFmtId="49" fontId="8" fillId="36" borderId="0" xfId="4" applyNumberFormat="1" applyFont="1" applyFill="1" applyBorder="1" applyAlignment="1">
      <alignment horizontal="left"/>
    </xf>
    <xf numFmtId="0" fontId="9" fillId="36" borderId="30" xfId="74" applyNumberFormat="1" applyFont="1" applyFill="1" applyBorder="1" applyAlignment="1">
      <alignment horizontal="right"/>
    </xf>
    <xf numFmtId="0" fontId="0" fillId="36" borderId="30" xfId="74" applyNumberFormat="1" applyFont="1" applyFill="1" applyBorder="1" applyAlignment="1">
      <alignment horizontal="left"/>
    </xf>
    <xf numFmtId="49" fontId="8" fillId="36" borderId="26" xfId="4" applyNumberFormat="1" applyFont="1" applyFill="1" applyBorder="1" applyAlignment="1">
      <alignment horizontal="left"/>
    </xf>
    <xf numFmtId="3" fontId="8" fillId="36" borderId="26" xfId="4" applyNumberFormat="1" applyFont="1" applyFill="1" applyBorder="1" applyAlignment="1">
      <alignment horizontal="right"/>
    </xf>
    <xf numFmtId="0" fontId="9" fillId="36" borderId="0" xfId="72" applyNumberFormat="1" applyFont="1" applyFill="1" applyAlignment="1">
      <alignment horizontal="left"/>
    </xf>
    <xf numFmtId="0" fontId="8" fillId="36" borderId="0" xfId="68" applyNumberFormat="1" applyFont="1" applyFill="1" applyBorder="1" applyAlignment="1">
      <alignment horizontal="right"/>
    </xf>
    <xf numFmtId="0" fontId="45" fillId="36" borderId="0" xfId="72" applyNumberFormat="1" applyFont="1" applyFill="1" applyAlignment="1">
      <alignment horizontal="left"/>
    </xf>
    <xf numFmtId="0" fontId="31" fillId="36" borderId="0" xfId="68" applyNumberFormat="1" applyFont="1" applyFill="1" applyBorder="1" applyAlignment="1">
      <alignment horizontal="right"/>
    </xf>
    <xf numFmtId="0" fontId="8" fillId="36" borderId="0" xfId="4" applyFont="1" applyFill="1"/>
    <xf numFmtId="0" fontId="8" fillId="36" borderId="0" xfId="4" applyNumberFormat="1" applyFont="1" applyFill="1" applyBorder="1" applyAlignment="1">
      <alignment horizontal="left"/>
    </xf>
    <xf numFmtId="0" fontId="0" fillId="36" borderId="0" xfId="68" applyNumberFormat="1" applyFont="1" applyFill="1" applyBorder="1" applyAlignment="1"/>
    <xf numFmtId="0" fontId="31" fillId="36" borderId="0" xfId="4" applyNumberFormat="1" applyFont="1" applyFill="1" applyAlignment="1">
      <alignment horizontal="left"/>
    </xf>
    <xf numFmtId="0" fontId="37" fillId="36" borderId="0" xfId="68" quotePrefix="1" applyNumberFormat="1" applyFont="1" applyFill="1" applyBorder="1" applyAlignment="1">
      <alignment horizontal="right"/>
    </xf>
    <xf numFmtId="0" fontId="38" fillId="36" borderId="0" xfId="4" applyNumberFormat="1" applyFont="1" applyFill="1" applyAlignment="1">
      <alignment horizontal="left"/>
    </xf>
    <xf numFmtId="0" fontId="8" fillId="36" borderId="0" xfId="0" applyFont="1" applyFill="1" applyBorder="1" applyAlignment="1">
      <alignment horizontal="right"/>
    </xf>
    <xf numFmtId="0" fontId="8" fillId="36" borderId="0" xfId="0" applyNumberFormat="1" applyFont="1" applyFill="1" applyAlignment="1">
      <alignment horizontal="left"/>
    </xf>
    <xf numFmtId="0" fontId="9" fillId="36" borderId="0" xfId="0" applyNumberFormat="1" applyFont="1" applyFill="1" applyAlignment="1">
      <alignment horizontal="left"/>
    </xf>
    <xf numFmtId="0" fontId="33" fillId="36" borderId="0" xfId="3" applyFill="1"/>
    <xf numFmtId="168" fontId="8" fillId="36" borderId="0" xfId="4" applyNumberFormat="1" applyFont="1" applyFill="1" applyAlignment="1">
      <alignment horizontal="right"/>
    </xf>
    <xf numFmtId="1" fontId="9" fillId="36" borderId="30" xfId="74" quotePrefix="1" applyNumberFormat="1" applyFont="1" applyFill="1" applyBorder="1" applyAlignment="1">
      <alignment horizontal="right"/>
    </xf>
    <xf numFmtId="0" fontId="8" fillId="36" borderId="0" xfId="4" applyFont="1" applyFill="1" applyBorder="1" applyAlignment="1">
      <alignment horizontal="right"/>
    </xf>
    <xf numFmtId="0" fontId="51" fillId="36" borderId="0" xfId="68" applyNumberFormat="1" applyFont="1" applyFill="1" applyBorder="1" applyAlignment="1">
      <alignment horizontal="right"/>
    </xf>
    <xf numFmtId="1" fontId="9" fillId="36" borderId="0" xfId="4" applyNumberFormat="1" applyFont="1" applyFill="1" applyBorder="1" applyAlignment="1">
      <alignment horizontal="left"/>
    </xf>
    <xf numFmtId="0" fontId="48" fillId="36" borderId="0" xfId="72" applyNumberFormat="1" applyFont="1" applyFill="1" applyAlignment="1">
      <alignment horizontal="left"/>
    </xf>
    <xf numFmtId="0" fontId="48" fillId="36" borderId="0" xfId="4" applyNumberFormat="1" applyFont="1" applyFill="1" applyAlignment="1">
      <alignment horizontal="right"/>
    </xf>
    <xf numFmtId="0" fontId="48" fillId="36" borderId="0" xfId="4" applyNumberFormat="1" applyFont="1" applyFill="1" applyBorder="1" applyAlignment="1">
      <alignment horizontal="right"/>
    </xf>
    <xf numFmtId="165" fontId="8" fillId="36" borderId="0" xfId="4" applyNumberFormat="1" applyFont="1" applyFill="1" applyBorder="1" applyAlignment="1">
      <alignment horizontal="right"/>
    </xf>
    <xf numFmtId="164" fontId="8" fillId="36" borderId="0" xfId="4" applyNumberFormat="1" applyFont="1" applyFill="1" applyBorder="1" applyAlignment="1">
      <alignment horizontal="right"/>
    </xf>
    <xf numFmtId="49" fontId="9" fillId="36" borderId="0" xfId="4" applyNumberFormat="1" applyFont="1" applyFill="1" applyBorder="1" applyAlignment="1">
      <alignment horizontal="left"/>
    </xf>
    <xf numFmtId="165" fontId="9" fillId="36" borderId="0" xfId="4" applyNumberFormat="1" applyFont="1" applyFill="1" applyBorder="1" applyAlignment="1">
      <alignment horizontal="right"/>
    </xf>
    <xf numFmtId="164" fontId="9" fillId="36" borderId="0" xfId="4" applyNumberFormat="1" applyFont="1" applyFill="1" applyBorder="1" applyAlignment="1">
      <alignment horizontal="right"/>
    </xf>
    <xf numFmtId="49" fontId="31" fillId="36" borderId="0" xfId="4" applyNumberFormat="1" applyFont="1" applyFill="1" applyBorder="1" applyAlignment="1">
      <alignment horizontal="left"/>
    </xf>
    <xf numFmtId="49" fontId="37" fillId="36" borderId="0" xfId="4" applyNumberFormat="1" applyFont="1" applyFill="1" applyBorder="1" applyAlignment="1">
      <alignment horizontal="left"/>
    </xf>
    <xf numFmtId="0" fontId="37" fillId="36" borderId="0" xfId="4" applyFont="1" applyFill="1" applyBorder="1" applyAlignment="1">
      <alignment horizontal="right"/>
    </xf>
    <xf numFmtId="165" fontId="37" fillId="36" borderId="0" xfId="4" applyNumberFormat="1" applyFont="1" applyFill="1" applyBorder="1" applyAlignment="1">
      <alignment horizontal="right"/>
    </xf>
    <xf numFmtId="164" fontId="37" fillId="36" borderId="0" xfId="4" applyNumberFormat="1" applyFont="1" applyFill="1" applyBorder="1" applyAlignment="1">
      <alignment horizontal="right"/>
    </xf>
    <xf numFmtId="0" fontId="48" fillId="36" borderId="0" xfId="0" applyNumberFormat="1" applyFont="1" applyFill="1" applyAlignment="1">
      <alignment horizontal="left"/>
    </xf>
    <xf numFmtId="0" fontId="8" fillId="36" borderId="0" xfId="4" applyNumberFormat="1" applyFont="1" applyFill="1" applyBorder="1" applyAlignment="1">
      <alignment horizontal="right" wrapText="1"/>
    </xf>
    <xf numFmtId="0" fontId="0" fillId="36" borderId="0" xfId="63" applyNumberFormat="1" applyFont="1" applyFill="1" applyAlignment="1"/>
    <xf numFmtId="0" fontId="8" fillId="36" borderId="30" xfId="74" applyNumberFormat="1" applyFont="1" applyFill="1" applyBorder="1" applyAlignment="1">
      <alignment wrapText="1"/>
    </xf>
    <xf numFmtId="0" fontId="48" fillId="36" borderId="0" xfId="0" applyNumberFormat="1" applyFont="1" applyFill="1" applyAlignment="1">
      <alignment horizontal="left" wrapText="1"/>
    </xf>
    <xf numFmtId="49" fontId="9" fillId="36" borderId="34" xfId="74" applyNumberFormat="1" applyFont="1" applyFill="1" applyBorder="1" applyAlignment="1">
      <alignment horizontal="left"/>
    </xf>
    <xf numFmtId="49" fontId="9" fillId="36" borderId="34" xfId="74" applyNumberFormat="1" applyFont="1" applyFill="1" applyBorder="1" applyAlignment="1">
      <alignment horizontal="right" wrapText="1"/>
    </xf>
    <xf numFmtId="49" fontId="9" fillId="36" borderId="0" xfId="74" applyNumberFormat="1" applyFont="1" applyFill="1" applyBorder="1" applyAlignment="1">
      <alignment horizontal="left"/>
    </xf>
    <xf numFmtId="0" fontId="8" fillId="36" borderId="0" xfId="69" applyNumberFormat="1" applyFont="1" applyFill="1" applyBorder="1" applyAlignment="1">
      <alignment wrapText="1"/>
    </xf>
    <xf numFmtId="0" fontId="48" fillId="36" borderId="0" xfId="69" applyNumberFormat="1" applyFont="1" applyFill="1" applyBorder="1" applyAlignment="1">
      <alignment horizontal="right"/>
    </xf>
    <xf numFmtId="49" fontId="9" fillId="36" borderId="0" xfId="74" applyNumberFormat="1" applyFont="1" applyFill="1" applyBorder="1" applyAlignment="1">
      <alignment horizontal="right"/>
    </xf>
    <xf numFmtId="168" fontId="8" fillId="36" borderId="0" xfId="0" applyNumberFormat="1" applyFont="1" applyFill="1" applyAlignment="1">
      <alignment horizontal="right"/>
    </xf>
    <xf numFmtId="49" fontId="9" fillId="36" borderId="34" xfId="74" applyNumberFormat="1" applyFont="1" applyFill="1" applyBorder="1" applyAlignment="1">
      <alignment horizontal="right"/>
    </xf>
    <xf numFmtId="49" fontId="37" fillId="36" borderId="0" xfId="4" applyNumberFormat="1" applyFont="1" applyFill="1" applyAlignment="1">
      <alignment horizontal="left"/>
    </xf>
    <xf numFmtId="0" fontId="37" fillId="36" borderId="0" xfId="4" applyFont="1" applyFill="1" applyAlignment="1">
      <alignment horizontal="right"/>
    </xf>
    <xf numFmtId="1" fontId="9" fillId="36" borderId="34" xfId="74" applyNumberFormat="1" applyFont="1" applyFill="1" applyBorder="1" applyAlignment="1">
      <alignment horizontal="right"/>
    </xf>
    <xf numFmtId="0" fontId="0" fillId="36" borderId="0" xfId="72" applyNumberFormat="1" applyFont="1" applyFill="1" applyAlignment="1"/>
    <xf numFmtId="0" fontId="0" fillId="36" borderId="0" xfId="69" applyNumberFormat="1" applyFont="1" applyFill="1" applyBorder="1" applyAlignment="1"/>
    <xf numFmtId="1" fontId="9" fillId="36" borderId="34" xfId="74" applyNumberFormat="1" applyFont="1" applyFill="1" applyBorder="1" applyAlignment="1">
      <alignment horizontal="right" wrapText="1"/>
    </xf>
    <xf numFmtId="0" fontId="50" fillId="36" borderId="0" xfId="4" applyNumberFormat="1" applyFont="1" applyFill="1" applyAlignment="1">
      <alignment horizontal="left"/>
    </xf>
    <xf numFmtId="0" fontId="9" fillId="36" borderId="0" xfId="68" applyNumberFormat="1" applyFont="1" applyFill="1" applyBorder="1" applyAlignment="1">
      <alignment horizontal="right"/>
    </xf>
    <xf numFmtId="3" fontId="9" fillId="36" borderId="0" xfId="0" applyNumberFormat="1" applyFont="1" applyFill="1" applyAlignment="1">
      <alignment horizontal="right"/>
    </xf>
    <xf numFmtId="0" fontId="38" fillId="36" borderId="0" xfId="0" applyNumberFormat="1" applyFont="1" applyFill="1" applyAlignment="1">
      <alignment horizontal="left"/>
    </xf>
    <xf numFmtId="0" fontId="34" fillId="36" borderId="0" xfId="0" applyNumberFormat="1" applyFont="1" applyFill="1" applyAlignment="1">
      <alignment horizontal="left"/>
    </xf>
    <xf numFmtId="0" fontId="34" fillId="36" borderId="0" xfId="68" applyNumberFormat="1" applyFont="1" applyFill="1" applyBorder="1" applyAlignment="1">
      <alignment horizontal="right"/>
    </xf>
    <xf numFmtId="0" fontId="8" fillId="36" borderId="0" xfId="70" applyNumberFormat="1" applyFont="1" applyFill="1" applyAlignment="1">
      <alignment horizontal="right"/>
    </xf>
    <xf numFmtId="0" fontId="48" fillId="36" borderId="0" xfId="67" applyNumberFormat="1" applyFont="1" applyFill="1" applyBorder="1" applyAlignment="1">
      <alignment horizontal="left"/>
    </xf>
    <xf numFmtId="0" fontId="48" fillId="36" borderId="0" xfId="70" applyNumberFormat="1" applyFont="1" applyFill="1" applyBorder="1" applyAlignment="1">
      <alignment horizontal="right"/>
    </xf>
    <xf numFmtId="0" fontId="8" fillId="36" borderId="0" xfId="0" applyFont="1" applyFill="1" applyAlignment="1"/>
    <xf numFmtId="0" fontId="0" fillId="36" borderId="0" xfId="0" applyFill="1" applyAlignment="1">
      <alignment horizontal="right"/>
    </xf>
    <xf numFmtId="172" fontId="9" fillId="36" borderId="0" xfId="3" applyNumberFormat="1" applyFont="1" applyFill="1" applyAlignment="1">
      <alignment horizontal="right"/>
    </xf>
    <xf numFmtId="49" fontId="8" fillId="36" borderId="0" xfId="0" applyNumberFormat="1" applyFont="1" applyFill="1" applyAlignment="1"/>
    <xf numFmtId="49" fontId="8" fillId="36" borderId="26" xfId="0" applyNumberFormat="1" applyFont="1" applyFill="1" applyBorder="1" applyAlignment="1"/>
    <xf numFmtId="0" fontId="0" fillId="36" borderId="0" xfId="0" applyNumberFormat="1" applyFill="1" applyAlignment="1">
      <alignment horizontal="right"/>
    </xf>
    <xf numFmtId="0" fontId="8" fillId="36" borderId="0" xfId="0" applyFont="1" applyFill="1" applyBorder="1" applyAlignment="1">
      <alignment horizontal="left"/>
    </xf>
    <xf numFmtId="49" fontId="8" fillId="36" borderId="0" xfId="4" applyNumberFormat="1" applyFont="1" applyFill="1" applyBorder="1" applyAlignment="1">
      <alignment horizontal="left" wrapText="1"/>
    </xf>
    <xf numFmtId="0" fontId="8" fillId="36" borderId="0" xfId="4" applyNumberFormat="1" applyFont="1" applyFill="1" applyBorder="1" applyAlignment="1">
      <alignment horizontal="left" wrapText="1"/>
    </xf>
    <xf numFmtId="164" fontId="8" fillId="36" borderId="26" xfId="4" applyNumberFormat="1" applyFont="1" applyFill="1" applyBorder="1" applyAlignment="1">
      <alignment horizontal="right"/>
    </xf>
    <xf numFmtId="0" fontId="0" fillId="36" borderId="0" xfId="0" applyFont="1" applyFill="1"/>
    <xf numFmtId="49" fontId="8" fillId="36" borderId="33" xfId="4" applyNumberFormat="1" applyFont="1" applyFill="1" applyBorder="1" applyAlignment="1">
      <alignment horizontal="left"/>
    </xf>
    <xf numFmtId="0" fontId="8" fillId="36" borderId="0" xfId="4" applyNumberFormat="1" applyFont="1" applyFill="1" applyBorder="1" applyAlignment="1">
      <alignment horizontal="left"/>
    </xf>
    <xf numFmtId="49" fontId="8" fillId="36" borderId="0" xfId="0" applyNumberFormat="1" applyFont="1" applyFill="1" applyAlignment="1">
      <alignment horizontal="left" wrapText="1"/>
    </xf>
    <xf numFmtId="49" fontId="8" fillId="36" borderId="0" xfId="0" applyNumberFormat="1" applyFont="1" applyFill="1" applyAlignment="1">
      <alignment horizontal="left"/>
    </xf>
    <xf numFmtId="49" fontId="9" fillId="36" borderId="2" xfId="74" applyNumberFormat="1" applyFont="1" applyFill="1" applyBorder="1" applyAlignment="1">
      <alignment horizontal="left"/>
    </xf>
    <xf numFmtId="1" fontId="9" fillId="36" borderId="0" xfId="77" applyNumberFormat="1" applyFont="1" applyFill="1" applyBorder="1" applyAlignment="1">
      <alignment horizontal="right"/>
    </xf>
    <xf numFmtId="3" fontId="9" fillId="36" borderId="0" xfId="78" applyNumberFormat="1" applyFont="1" applyFill="1" applyBorder="1" applyAlignment="1">
      <alignment horizontal="right"/>
    </xf>
    <xf numFmtId="3" fontId="8" fillId="36" borderId="0" xfId="78" applyNumberFormat="1" applyFont="1" applyFill="1" applyBorder="1" applyAlignment="1">
      <alignment horizontal="right"/>
    </xf>
    <xf numFmtId="3" fontId="9" fillId="36" borderId="27" xfId="78" applyNumberFormat="1" applyFont="1" applyFill="1" applyBorder="1" applyAlignment="1">
      <alignment horizontal="right"/>
    </xf>
    <xf numFmtId="3" fontId="8" fillId="36" borderId="27" xfId="78" applyNumberFormat="1" applyFont="1" applyFill="1" applyBorder="1" applyAlignment="1">
      <alignment horizontal="right"/>
    </xf>
    <xf numFmtId="0" fontId="8" fillId="36" borderId="1" xfId="78" applyNumberFormat="1" applyFont="1" applyFill="1" applyBorder="1" applyAlignment="1">
      <alignment horizontal="left"/>
    </xf>
    <xf numFmtId="0" fontId="47" fillId="36" borderId="1" xfId="78" applyNumberFormat="1" applyFont="1" applyFill="1" applyBorder="1" applyAlignment="1">
      <alignment horizontal="right"/>
    </xf>
    <xf numFmtId="3" fontId="8" fillId="36" borderId="1" xfId="78" applyNumberFormat="1" applyFont="1" applyFill="1" applyBorder="1" applyAlignment="1">
      <alignment horizontal="right"/>
    </xf>
    <xf numFmtId="3" fontId="8" fillId="36" borderId="30" xfId="79" applyNumberFormat="1" applyFont="1" applyFill="1" applyBorder="1" applyAlignment="1">
      <alignment horizontal="right"/>
    </xf>
    <xf numFmtId="3" fontId="57" fillId="36" borderId="31" xfId="78" applyNumberFormat="1" applyFont="1" applyFill="1" applyBorder="1" applyAlignment="1">
      <alignment horizontal="right"/>
    </xf>
    <xf numFmtId="3" fontId="57" fillId="36" borderId="27" xfId="78" applyNumberFormat="1" applyFont="1" applyFill="1" applyBorder="1" applyAlignment="1">
      <alignment horizontal="right"/>
    </xf>
    <xf numFmtId="49" fontId="8" fillId="36" borderId="30" xfId="79" applyNumberFormat="1" applyFont="1" applyFill="1" applyBorder="1" applyAlignment="1">
      <alignment horizontal="left"/>
    </xf>
    <xf numFmtId="3" fontId="8" fillId="36" borderId="1" xfId="78" quotePrefix="1" applyNumberFormat="1" applyFont="1" applyFill="1" applyBorder="1" applyAlignment="1">
      <alignment horizontal="right"/>
    </xf>
    <xf numFmtId="0" fontId="8" fillId="36" borderId="27" xfId="78" applyNumberFormat="1" applyFont="1" applyFill="1" applyBorder="1" applyAlignment="1">
      <alignment horizontal="left"/>
    </xf>
    <xf numFmtId="3" fontId="8" fillId="36" borderId="27" xfId="78" quotePrefix="1" applyNumberFormat="1" applyFont="1" applyFill="1" applyBorder="1" applyAlignment="1">
      <alignment horizontal="right"/>
    </xf>
    <xf numFmtId="49" fontId="8" fillId="36" borderId="27" xfId="78" applyNumberFormat="1" applyFont="1" applyFill="1" applyBorder="1" applyAlignment="1">
      <alignment horizontal="left"/>
    </xf>
    <xf numFmtId="0" fontId="8" fillId="36" borderId="1" xfId="78" applyNumberFormat="1" applyFont="1" applyFill="1" applyBorder="1" applyAlignment="1">
      <alignment horizontal="left" wrapText="1"/>
    </xf>
    <xf numFmtId="49" fontId="8" fillId="36" borderId="31" xfId="78" applyNumberFormat="1" applyFont="1" applyFill="1" applyBorder="1" applyAlignment="1">
      <alignment horizontal="left"/>
    </xf>
    <xf numFmtId="3" fontId="8" fillId="36" borderId="31" xfId="78" applyNumberFormat="1" applyFont="1" applyFill="1" applyBorder="1" applyAlignment="1">
      <alignment horizontal="right"/>
    </xf>
    <xf numFmtId="3" fontId="8" fillId="36" borderId="30" xfId="79" quotePrefix="1" applyNumberFormat="1" applyFont="1" applyFill="1" applyBorder="1" applyAlignment="1">
      <alignment horizontal="right"/>
    </xf>
    <xf numFmtId="0" fontId="8" fillId="36" borderId="30" xfId="74" applyNumberFormat="1" applyFont="1" applyFill="1" applyBorder="1" applyAlignment="1">
      <alignment horizontal="left"/>
    </xf>
    <xf numFmtId="49" fontId="8" fillId="36" borderId="1" xfId="78" applyNumberFormat="1" applyFont="1" applyFill="1" applyBorder="1" applyAlignment="1">
      <alignment horizontal="left"/>
    </xf>
    <xf numFmtId="3" fontId="8" fillId="36" borderId="26" xfId="78" applyNumberFormat="1" applyFont="1" applyFill="1" applyBorder="1" applyAlignment="1">
      <alignment horizontal="right"/>
    </xf>
    <xf numFmtId="3" fontId="8" fillId="36" borderId="16" xfId="79" applyNumberFormat="1" applyFont="1" applyFill="1" applyBorder="1" applyAlignment="1">
      <alignment horizontal="right"/>
    </xf>
    <xf numFmtId="49" fontId="8" fillId="36" borderId="0" xfId="68" applyNumberFormat="1" applyFont="1" applyFill="1" applyBorder="1" applyAlignment="1"/>
    <xf numFmtId="0" fontId="8" fillId="36" borderId="0" xfId="68" applyNumberFormat="1" applyFont="1" applyFill="1" applyBorder="1" applyAlignment="1">
      <alignment wrapText="1"/>
    </xf>
    <xf numFmtId="0" fontId="8" fillId="36" borderId="0" xfId="72" applyNumberFormat="1" applyFont="1" applyFill="1" applyAlignment="1">
      <alignment wrapText="1"/>
    </xf>
    <xf numFmtId="0" fontId="31" fillId="36" borderId="0" xfId="72" applyNumberFormat="1" applyFont="1" applyFill="1" applyAlignment="1">
      <alignment horizontal="left"/>
    </xf>
    <xf numFmtId="0" fontId="0" fillId="36" borderId="30" xfId="79" applyNumberFormat="1" applyFont="1" applyFill="1" applyBorder="1" applyAlignment="1"/>
    <xf numFmtId="3" fontId="8" fillId="36" borderId="32" xfId="78" applyNumberFormat="1" applyFont="1" applyFill="1" applyBorder="1" applyAlignment="1">
      <alignment horizontal="right"/>
    </xf>
    <xf numFmtId="49" fontId="8" fillId="36" borderId="1" xfId="78" applyNumberFormat="1" applyFont="1" applyFill="1" applyBorder="1" applyAlignment="1">
      <alignment horizontal="left" wrapText="1"/>
    </xf>
    <xf numFmtId="49" fontId="9" fillId="36" borderId="32" xfId="78" applyNumberFormat="1" applyFont="1" applyFill="1" applyBorder="1" applyAlignment="1">
      <alignment horizontal="left"/>
    </xf>
    <xf numFmtId="0" fontId="0" fillId="36" borderId="1" xfId="78" applyNumberFormat="1" applyFont="1" applyFill="1" applyBorder="1" applyAlignment="1"/>
    <xf numFmtId="3" fontId="4" fillId="36" borderId="1" xfId="78" applyNumberFormat="1" applyFont="1" applyFill="1" applyBorder="1" applyAlignment="1">
      <alignment horizontal="right"/>
    </xf>
    <xf numFmtId="3" fontId="4" fillId="36" borderId="30" xfId="79" applyNumberFormat="1" applyFont="1" applyFill="1" applyBorder="1" applyAlignment="1">
      <alignment horizontal="right"/>
    </xf>
    <xf numFmtId="0" fontId="8" fillId="36" borderId="0" xfId="78" applyNumberFormat="1" applyFont="1" applyFill="1" applyBorder="1" applyAlignment="1">
      <alignment horizontal="left"/>
    </xf>
    <xf numFmtId="0" fontId="8" fillId="36" borderId="1" xfId="78" applyNumberFormat="1" applyFont="1" applyFill="1" applyBorder="1" applyAlignment="1">
      <alignment horizontal="right"/>
    </xf>
    <xf numFmtId="0" fontId="8" fillId="36" borderId="1" xfId="78" applyFont="1" applyFill="1" applyBorder="1" applyAlignment="1">
      <alignment horizontal="right"/>
    </xf>
    <xf numFmtId="165" fontId="8" fillId="36" borderId="1" xfId="78" applyNumberFormat="1" applyFont="1" applyFill="1" applyBorder="1" applyAlignment="1">
      <alignment horizontal="right"/>
    </xf>
    <xf numFmtId="49" fontId="8" fillId="36" borderId="0" xfId="79" applyNumberFormat="1" applyFont="1" applyFill="1" applyBorder="1" applyAlignment="1">
      <alignment horizontal="left"/>
    </xf>
    <xf numFmtId="0" fontId="8" fillId="36" borderId="2" xfId="74" applyNumberFormat="1" applyFont="1" applyFill="1" applyBorder="1" applyAlignment="1">
      <alignment horizontal="right"/>
    </xf>
    <xf numFmtId="0" fontId="0" fillId="36" borderId="0" xfId="77" applyNumberFormat="1" applyFont="1" applyFill="1" applyAlignment="1">
      <alignment horizontal="right"/>
    </xf>
    <xf numFmtId="0" fontId="0" fillId="36" borderId="0" xfId="77" applyNumberFormat="1" applyFont="1" applyFill="1" applyAlignment="1"/>
    <xf numFmtId="0" fontId="8" fillId="36" borderId="27" xfId="78" applyNumberFormat="1" applyFont="1" applyFill="1" applyBorder="1" applyAlignment="1">
      <alignment horizontal="right"/>
    </xf>
    <xf numFmtId="3" fontId="8" fillId="0" borderId="27" xfId="78" applyNumberFormat="1" applyFont="1" applyFill="1" applyBorder="1" applyAlignment="1">
      <alignment horizontal="right"/>
    </xf>
    <xf numFmtId="49" fontId="8" fillId="36" borderId="27" xfId="78" applyNumberFormat="1" applyFont="1" applyFill="1" applyBorder="1" applyAlignment="1">
      <alignment horizontal="right"/>
    </xf>
    <xf numFmtId="164" fontId="8" fillId="0" borderId="27" xfId="78" applyNumberFormat="1" applyFont="1" applyFill="1" applyBorder="1" applyAlignment="1">
      <alignment horizontal="right"/>
    </xf>
    <xf numFmtId="164" fontId="8" fillId="36" borderId="27" xfId="78" applyNumberFormat="1" applyFont="1" applyFill="1" applyBorder="1" applyAlignment="1">
      <alignment horizontal="right"/>
    </xf>
    <xf numFmtId="49" fontId="8" fillId="36" borderId="26" xfId="78" applyNumberFormat="1" applyFont="1" applyFill="1" applyBorder="1" applyAlignment="1">
      <alignment horizontal="left"/>
    </xf>
    <xf numFmtId="0" fontId="8" fillId="36" borderId="32" xfId="78" applyNumberFormat="1" applyFont="1" applyFill="1" applyBorder="1" applyAlignment="1">
      <alignment horizontal="right"/>
    </xf>
    <xf numFmtId="0" fontId="8" fillId="36" borderId="29" xfId="78" applyNumberFormat="1" applyFont="1" applyFill="1" applyBorder="1" applyAlignment="1">
      <alignment horizontal="right"/>
    </xf>
    <xf numFmtId="3" fontId="8" fillId="36" borderId="29" xfId="78" applyNumberFormat="1" applyFont="1" applyFill="1" applyBorder="1" applyAlignment="1">
      <alignment horizontal="right"/>
    </xf>
    <xf numFmtId="49" fontId="8" fillId="36" borderId="1" xfId="78" applyNumberFormat="1" applyFont="1" applyFill="1" applyAlignment="1">
      <alignment horizontal="left"/>
    </xf>
    <xf numFmtId="1" fontId="9" fillId="36" borderId="27" xfId="78" applyNumberFormat="1" applyFont="1" applyFill="1" applyBorder="1" applyAlignment="1">
      <alignment horizontal="right"/>
    </xf>
    <xf numFmtId="4" fontId="8" fillId="36" borderId="27" xfId="78" applyNumberFormat="1" applyFont="1" applyFill="1" applyBorder="1" applyAlignment="1">
      <alignment horizontal="right"/>
    </xf>
    <xf numFmtId="3" fontId="8" fillId="36" borderId="2" xfId="79" applyNumberFormat="1" applyFont="1" applyFill="1" applyBorder="1" applyAlignment="1">
      <alignment horizontal="right"/>
    </xf>
    <xf numFmtId="0" fontId="8" fillId="36" borderId="2" xfId="79" applyNumberFormat="1" applyFont="1" applyFill="1" applyBorder="1" applyAlignment="1">
      <alignment horizontal="right"/>
    </xf>
    <xf numFmtId="0" fontId="8" fillId="36" borderId="2" xfId="79" applyNumberFormat="1" applyFont="1" applyFill="1" applyBorder="1" applyAlignment="1">
      <alignment horizontal="left"/>
    </xf>
    <xf numFmtId="49" fontId="8" fillId="36" borderId="2" xfId="79" applyNumberFormat="1" applyFont="1" applyFill="1" applyBorder="1" applyAlignment="1">
      <alignment horizontal="left"/>
    </xf>
    <xf numFmtId="0" fontId="8" fillId="36" borderId="34" xfId="79" applyNumberFormat="1" applyFont="1" applyFill="1" applyBorder="1" applyAlignment="1">
      <alignment horizontal="right"/>
    </xf>
    <xf numFmtId="3" fontId="8" fillId="36" borderId="34" xfId="79" applyNumberFormat="1" applyFont="1" applyFill="1" applyBorder="1" applyAlignment="1">
      <alignment horizontal="right"/>
    </xf>
    <xf numFmtId="49" fontId="8" fillId="36" borderId="16" xfId="79" applyNumberFormat="1" applyFont="1" applyFill="1" applyBorder="1" applyAlignment="1">
      <alignment horizontal="right"/>
    </xf>
    <xf numFmtId="0" fontId="8" fillId="36" borderId="0" xfId="79" applyNumberFormat="1" applyFont="1" applyFill="1" applyBorder="1" applyAlignment="1">
      <alignment horizontal="left"/>
    </xf>
    <xf numFmtId="0" fontId="34" fillId="36" borderId="0" xfId="81" applyNumberFormat="1" applyFont="1" applyFill="1" applyBorder="1" applyAlignment="1">
      <alignment horizontal="right"/>
    </xf>
    <xf numFmtId="0" fontId="34" fillId="36" borderId="0" xfId="72" applyFont="1" applyFill="1" applyAlignment="1"/>
    <xf numFmtId="0" fontId="0" fillId="36" borderId="1" xfId="78" applyFont="1" applyFill="1" applyBorder="1" applyAlignment="1"/>
    <xf numFmtId="0" fontId="56" fillId="36" borderId="1" xfId="78" applyFont="1" applyFill="1" applyAlignment="1" applyProtection="1">
      <alignment horizontal="right"/>
    </xf>
    <xf numFmtId="0" fontId="0" fillId="36" borderId="27" xfId="78" applyFont="1" applyFill="1" applyBorder="1" applyAlignment="1"/>
    <xf numFmtId="0" fontId="4" fillId="36" borderId="34" xfId="79" applyFont="1" applyFill="1" applyBorder="1" applyAlignment="1"/>
    <xf numFmtId="0" fontId="9" fillId="36" borderId="0" xfId="77" applyNumberFormat="1" applyFont="1" applyFill="1" applyBorder="1" applyAlignment="1">
      <alignment horizontal="right"/>
    </xf>
    <xf numFmtId="0" fontId="9" fillId="36" borderId="27" xfId="78" applyNumberFormat="1" applyFont="1" applyFill="1" applyBorder="1" applyAlignment="1">
      <alignment horizontal="left" wrapText="1"/>
    </xf>
    <xf numFmtId="0" fontId="34" fillId="36" borderId="1" xfId="78" applyNumberFormat="1" applyFont="1" applyFill="1" applyBorder="1" applyAlignment="1"/>
    <xf numFmtId="0" fontId="34" fillId="36" borderId="1" xfId="78" applyNumberFormat="1" applyFont="1" applyFill="1" applyAlignment="1"/>
    <xf numFmtId="0" fontId="34" fillId="36" borderId="1" xfId="78" applyNumberFormat="1" applyFont="1" applyFill="1" applyBorder="1" applyAlignment="1">
      <alignment horizontal="left"/>
    </xf>
    <xf numFmtId="0" fontId="34" fillId="36" borderId="16" xfId="79" applyNumberFormat="1" applyFont="1" applyFill="1" applyBorder="1" applyAlignment="1"/>
    <xf numFmtId="0" fontId="8" fillId="36" borderId="16" xfId="79" applyNumberFormat="1" applyFont="1" applyFill="1" applyBorder="1" applyAlignment="1">
      <alignment horizontal="left" wrapText="1"/>
    </xf>
    <xf numFmtId="0" fontId="8" fillId="36" borderId="0" xfId="81" applyNumberFormat="1" applyFont="1" applyFill="1" applyBorder="1" applyAlignment="1">
      <alignment horizontal="right"/>
    </xf>
    <xf numFmtId="0" fontId="0" fillId="36" borderId="29" xfId="78" applyFont="1" applyFill="1" applyBorder="1" applyAlignment="1"/>
    <xf numFmtId="49" fontId="9" fillId="36" borderId="27" xfId="78" applyNumberFormat="1" applyFont="1" applyFill="1" applyBorder="1" applyAlignment="1">
      <alignment horizontal="left"/>
    </xf>
    <xf numFmtId="0" fontId="8" fillId="36" borderId="1" xfId="78" applyNumberFormat="1" applyFont="1" applyFill="1" applyAlignment="1">
      <alignment horizontal="right"/>
    </xf>
    <xf numFmtId="0" fontId="0" fillId="36" borderId="1" xfId="78" applyFont="1" applyFill="1" applyAlignment="1"/>
    <xf numFmtId="0" fontId="56" fillId="36" borderId="1" xfId="78" applyNumberFormat="1" applyFont="1" applyFill="1" applyAlignment="1" applyProtection="1">
      <alignment horizontal="right"/>
    </xf>
    <xf numFmtId="3" fontId="8" fillId="36" borderId="1" xfId="78" applyNumberFormat="1" applyFont="1" applyFill="1" applyAlignment="1">
      <alignment horizontal="right"/>
    </xf>
    <xf numFmtId="0" fontId="9" fillId="36" borderId="29" xfId="78" applyNumberFormat="1" applyFont="1" applyFill="1" applyBorder="1" applyAlignment="1">
      <alignment horizontal="left"/>
    </xf>
    <xf numFmtId="0" fontId="9" fillId="36" borderId="1" xfId="78" applyNumberFormat="1" applyFont="1" applyFill="1" applyBorder="1" applyAlignment="1">
      <alignment horizontal="left"/>
    </xf>
    <xf numFmtId="49" fontId="9" fillId="36" borderId="26" xfId="78" applyNumberFormat="1" applyFont="1" applyFill="1" applyBorder="1" applyAlignment="1">
      <alignment horizontal="left"/>
    </xf>
    <xf numFmtId="49" fontId="9" fillId="36" borderId="1" xfId="78" applyNumberFormat="1" applyFont="1" applyFill="1" applyAlignment="1">
      <alignment horizontal="left"/>
    </xf>
    <xf numFmtId="0" fontId="9" fillId="36" borderId="1" xfId="78" applyNumberFormat="1" applyFont="1" applyFill="1" applyAlignment="1">
      <alignment horizontal="left"/>
    </xf>
    <xf numFmtId="49" fontId="8" fillId="36" borderId="16" xfId="79" applyNumberFormat="1" applyFont="1" applyFill="1" applyBorder="1" applyAlignment="1">
      <alignment horizontal="left"/>
    </xf>
    <xf numFmtId="3" fontId="9" fillId="36" borderId="29" xfId="78" applyNumberFormat="1" applyFont="1" applyFill="1" applyBorder="1" applyAlignment="1">
      <alignment horizontal="right" wrapText="1"/>
    </xf>
    <xf numFmtId="3" fontId="9" fillId="36" borderId="1" xfId="78" applyNumberFormat="1" applyFont="1" applyFill="1" applyBorder="1" applyAlignment="1">
      <alignment horizontal="right" wrapText="1"/>
    </xf>
    <xf numFmtId="3" fontId="8" fillId="36" borderId="1" xfId="78" applyNumberFormat="1" applyFont="1" applyFill="1" applyBorder="1" applyAlignment="1">
      <alignment horizontal="right" wrapText="1"/>
    </xf>
    <xf numFmtId="3" fontId="56" fillId="36" borderId="27" xfId="78" applyNumberFormat="1" applyFont="1" applyFill="1" applyBorder="1" applyAlignment="1" applyProtection="1">
      <alignment horizontal="right"/>
    </xf>
    <xf numFmtId="3" fontId="9" fillId="36" borderId="27" xfId="78" applyNumberFormat="1" applyFont="1" applyFill="1" applyBorder="1" applyAlignment="1">
      <alignment horizontal="right" wrapText="1"/>
    </xf>
    <xf numFmtId="3" fontId="8" fillId="36" borderId="27" xfId="78" applyNumberFormat="1" applyFont="1" applyFill="1" applyBorder="1" applyAlignment="1">
      <alignment horizontal="right" wrapText="1"/>
    </xf>
    <xf numFmtId="3" fontId="8" fillId="36" borderId="29" xfId="78" applyNumberFormat="1" applyFont="1" applyFill="1" applyBorder="1" applyAlignment="1">
      <alignment horizontal="right" wrapText="1"/>
    </xf>
    <xf numFmtId="49" fontId="9" fillId="36" borderId="0" xfId="77" applyNumberFormat="1" applyFont="1" applyFill="1" applyBorder="1" applyAlignment="1">
      <alignment horizontal="right"/>
    </xf>
    <xf numFmtId="0" fontId="9" fillId="36" borderId="0" xfId="77" applyNumberFormat="1" applyFont="1" applyFill="1" applyAlignment="1">
      <alignment horizontal="left"/>
    </xf>
    <xf numFmtId="0" fontId="8" fillId="36" borderId="1" xfId="78" applyNumberFormat="1" applyFont="1" applyFill="1" applyAlignment="1">
      <alignment wrapText="1"/>
    </xf>
    <xf numFmtId="0" fontId="8" fillId="36" borderId="1" xfId="78" applyNumberFormat="1" applyFont="1" applyFill="1" applyAlignment="1">
      <alignment horizontal="right" wrapText="1"/>
    </xf>
    <xf numFmtId="49" fontId="8" fillId="36" borderId="1" xfId="78" applyNumberFormat="1" applyFont="1" applyFill="1" applyAlignment="1">
      <alignment horizontal="right"/>
    </xf>
    <xf numFmtId="164" fontId="8" fillId="36" borderId="1" xfId="78" applyNumberFormat="1" applyFont="1" applyFill="1" applyAlignment="1">
      <alignment horizontal="right"/>
    </xf>
    <xf numFmtId="49" fontId="8" fillId="36" borderId="1" xfId="78" applyNumberFormat="1" applyFont="1" applyFill="1" applyAlignment="1">
      <alignment horizontal="left" wrapText="1"/>
    </xf>
    <xf numFmtId="0" fontId="8" fillId="36" borderId="1" xfId="78" applyNumberFormat="1" applyFont="1" applyFill="1" applyAlignment="1">
      <alignment horizontal="left"/>
    </xf>
    <xf numFmtId="49" fontId="9" fillId="36" borderId="34" xfId="74" applyNumberFormat="1" applyFont="1" applyFill="1" applyAlignment="1">
      <alignment horizontal="left"/>
    </xf>
    <xf numFmtId="1" fontId="9" fillId="36" borderId="34" xfId="74" quotePrefix="1" applyNumberFormat="1" applyFont="1" applyFill="1" applyAlignment="1">
      <alignment horizontal="right"/>
    </xf>
    <xf numFmtId="3" fontId="8" fillId="36" borderId="34" xfId="82" applyNumberFormat="1" applyFont="1" applyFill="1" applyAlignment="1">
      <alignment horizontal="right"/>
    </xf>
    <xf numFmtId="49" fontId="9" fillId="36" borderId="34" xfId="82" applyNumberFormat="1" applyFont="1" applyFill="1" applyAlignment="1">
      <alignment horizontal="left"/>
    </xf>
    <xf numFmtId="0" fontId="56" fillId="36" borderId="34" xfId="82" applyNumberFormat="1" applyFont="1" applyFill="1" applyAlignment="1" applyProtection="1">
      <alignment horizontal="right"/>
    </xf>
    <xf numFmtId="0" fontId="0" fillId="36" borderId="34" xfId="82" applyNumberFormat="1" applyFont="1" applyFill="1" applyAlignment="1"/>
    <xf numFmtId="49" fontId="9" fillId="36" borderId="34" xfId="82" applyNumberFormat="1" applyFont="1" applyFill="1" applyAlignment="1">
      <alignment horizontal="left" wrapText="1"/>
    </xf>
    <xf numFmtId="3" fontId="9" fillId="36" borderId="34" xfId="82" applyNumberFormat="1" applyFont="1" applyFill="1" applyAlignment="1">
      <alignment horizontal="right"/>
    </xf>
    <xf numFmtId="49" fontId="8" fillId="36" borderId="34" xfId="79" applyNumberFormat="1" applyFont="1" applyFill="1" applyBorder="1" applyAlignment="1">
      <alignment horizontal="left" wrapText="1"/>
    </xf>
    <xf numFmtId="49" fontId="9" fillId="36" borderId="1" xfId="78" applyNumberFormat="1" applyFont="1" applyFill="1" applyAlignment="1">
      <alignment horizontal="left" wrapText="1"/>
    </xf>
    <xf numFmtId="49" fontId="8" fillId="36" borderId="1" xfId="78" applyNumberFormat="1" applyFont="1" applyFill="1" applyAlignment="1">
      <alignment horizontal="left" wrapText="1"/>
    </xf>
    <xf numFmtId="0" fontId="8" fillId="36" borderId="1" xfId="78" applyNumberFormat="1" applyFont="1" applyFill="1" applyAlignment="1">
      <alignment horizontal="left"/>
    </xf>
    <xf numFmtId="49" fontId="9" fillId="36" borderId="34" xfId="82" applyNumberFormat="1" applyFont="1" applyFill="1" applyAlignment="1">
      <alignment horizontal="left"/>
    </xf>
    <xf numFmtId="49" fontId="9" fillId="36" borderId="34" xfId="74" applyNumberFormat="1" applyFont="1" applyFill="1" applyAlignment="1">
      <alignment horizontal="left"/>
    </xf>
    <xf numFmtId="49" fontId="9" fillId="36" borderId="34" xfId="82" applyNumberFormat="1" applyFont="1" applyFill="1" applyAlignment="1">
      <alignment horizontal="left" wrapText="1"/>
    </xf>
    <xf numFmtId="0" fontId="9" fillId="36" borderId="34" xfId="82" applyNumberFormat="1" applyFont="1" applyFill="1" applyAlignment="1">
      <alignment horizontal="left"/>
    </xf>
    <xf numFmtId="49" fontId="9" fillId="36" borderId="34" xfId="82" applyNumberFormat="1" applyFont="1" applyFill="1" applyAlignment="1">
      <alignment horizontal="right" wrapText="1"/>
    </xf>
    <xf numFmtId="3" fontId="8" fillId="36" borderId="34" xfId="82" applyNumberFormat="1" applyFont="1" applyFill="1" applyAlignment="1">
      <alignment horizontal="right" wrapText="1"/>
    </xf>
    <xf numFmtId="3" fontId="57" fillId="36" borderId="34" xfId="82" applyNumberFormat="1" applyFont="1" applyFill="1" applyAlignment="1">
      <alignment horizontal="right"/>
    </xf>
    <xf numFmtId="0" fontId="8" fillId="36" borderId="0" xfId="72" applyNumberFormat="1" applyFont="1" applyFill="1" applyAlignment="1"/>
    <xf numFmtId="3" fontId="8" fillId="36" borderId="34" xfId="79" applyNumberFormat="1" applyFont="1" applyFill="1" applyBorder="1" applyAlignment="1">
      <alignment horizontal="right" wrapText="1"/>
    </xf>
    <xf numFmtId="0" fontId="8" fillId="36" borderId="34" xfId="82" applyNumberFormat="1" applyFont="1" applyFill="1" applyAlignment="1">
      <alignment horizontal="right"/>
    </xf>
    <xf numFmtId="49" fontId="8" fillId="36" borderId="34" xfId="79" applyNumberFormat="1" applyFont="1" applyFill="1" applyBorder="1" applyAlignment="1">
      <alignment horizontal="left"/>
    </xf>
    <xf numFmtId="1" fontId="9" fillId="36" borderId="34" xfId="74" applyNumberFormat="1" applyFont="1" applyFill="1" applyAlignment="1">
      <alignment horizontal="right"/>
    </xf>
    <xf numFmtId="0" fontId="9" fillId="36" borderId="1" xfId="78" applyNumberFormat="1" applyFont="1" applyFill="1" applyAlignment="1">
      <alignment horizontal="right"/>
    </xf>
    <xf numFmtId="0" fontId="8" fillId="36" borderId="1" xfId="78" applyNumberFormat="1" applyFont="1" applyFill="1" applyAlignment="1">
      <alignment horizontal="left" wrapText="1"/>
    </xf>
    <xf numFmtId="0" fontId="8" fillId="36" borderId="34" xfId="79" applyNumberFormat="1" applyFont="1" applyFill="1" applyBorder="1" applyAlignment="1">
      <alignment horizontal="left"/>
    </xf>
    <xf numFmtId="0" fontId="0" fillId="36" borderId="1" xfId="78" applyNumberFormat="1" applyFont="1" applyFill="1" applyAlignment="1"/>
    <xf numFmtId="0" fontId="9" fillId="36" borderId="34" xfId="79" applyNumberFormat="1" applyFont="1" applyFill="1" applyBorder="1" applyAlignment="1">
      <alignment horizontal="right"/>
    </xf>
    <xf numFmtId="3" fontId="8" fillId="36" borderId="1" xfId="78" applyNumberFormat="1" applyFont="1" applyFill="1" applyAlignment="1">
      <alignment horizontal="right" wrapText="1"/>
    </xf>
    <xf numFmtId="0" fontId="9" fillId="36" borderId="34" xfId="74" applyNumberFormat="1" applyFont="1" applyFill="1" applyAlignment="1">
      <alignment horizontal="right"/>
    </xf>
    <xf numFmtId="0" fontId="9" fillId="36" borderId="1" xfId="78" applyNumberFormat="1" applyFont="1" applyFill="1" applyAlignment="1">
      <alignment horizontal="left" wrapText="1"/>
    </xf>
    <xf numFmtId="49" fontId="8" fillId="36" borderId="1" xfId="78" applyNumberFormat="1" applyFont="1" applyFill="1" applyAlignment="1">
      <alignment horizontal="left"/>
    </xf>
    <xf numFmtId="2" fontId="8" fillId="36" borderId="1" xfId="78" applyNumberFormat="1" applyFont="1" applyFill="1" applyAlignment="1">
      <alignment horizontal="right"/>
    </xf>
    <xf numFmtId="0" fontId="0" fillId="36" borderId="1" xfId="78" applyNumberFormat="1" applyFont="1" applyFill="1" applyAlignment="1">
      <alignment horizontal="left"/>
    </xf>
    <xf numFmtId="0" fontId="8" fillId="36" borderId="1" xfId="78" applyNumberFormat="1" applyFont="1" applyFill="1" applyAlignment="1"/>
    <xf numFmtId="0" fontId="9" fillId="36" borderId="1" xfId="78" applyNumberFormat="1" applyFont="1" applyFill="1" applyAlignment="1">
      <alignment horizontal="right" wrapText="1"/>
    </xf>
    <xf numFmtId="49" fontId="8" fillId="36" borderId="34" xfId="79" applyNumberFormat="1" applyFont="1" applyFill="1" applyBorder="1" applyAlignment="1">
      <alignment horizontal="left"/>
    </xf>
    <xf numFmtId="49" fontId="0" fillId="36" borderId="34" xfId="82" applyNumberFormat="1" applyFont="1" applyFill="1" applyAlignment="1">
      <alignment horizontal="left"/>
    </xf>
    <xf numFmtId="2" fontId="9" fillId="36" borderId="34" xfId="82" applyNumberFormat="1" applyFont="1" applyFill="1" applyAlignment="1">
      <alignment horizontal="right"/>
    </xf>
    <xf numFmtId="3" fontId="9" fillId="36" borderId="1" xfId="78" applyNumberFormat="1" applyFont="1" applyFill="1" applyAlignment="1">
      <alignment horizontal="right"/>
    </xf>
    <xf numFmtId="0" fontId="8" fillId="36" borderId="1" xfId="78" applyFont="1" applyFill="1" applyAlignment="1">
      <alignment horizontal="right"/>
    </xf>
    <xf numFmtId="0" fontId="8" fillId="36" borderId="34" xfId="79" applyFont="1" applyFill="1" applyBorder="1" applyAlignment="1">
      <alignment horizontal="right"/>
    </xf>
    <xf numFmtId="0" fontId="8" fillId="36" borderId="34" xfId="79" applyNumberFormat="1" applyFont="1" applyFill="1" applyBorder="1" applyAlignment="1"/>
    <xf numFmtId="49" fontId="9" fillId="36" borderId="34" xfId="74" applyNumberFormat="1" applyFont="1" applyFill="1" applyAlignment="1">
      <alignment horizontal="right" wrapText="1"/>
    </xf>
    <xf numFmtId="0" fontId="8" fillId="36" borderId="34" xfId="79" applyNumberFormat="1" applyFont="1" applyFill="1" applyBorder="1" applyAlignment="1">
      <alignment horizontal="left" wrapText="1"/>
    </xf>
    <xf numFmtId="0" fontId="9" fillId="36" borderId="0" xfId="72" applyNumberFormat="1" applyFont="1" applyFill="1" applyBorder="1" applyAlignment="1">
      <alignment horizontal="left"/>
    </xf>
    <xf numFmtId="3" fontId="0" fillId="36" borderId="1" xfId="78" applyNumberFormat="1" applyFont="1" applyFill="1" applyAlignment="1">
      <alignment horizontal="right"/>
    </xf>
    <xf numFmtId="0" fontId="8" fillId="36" borderId="34" xfId="74" applyNumberFormat="1" applyFont="1" applyFill="1" applyAlignment="1"/>
    <xf numFmtId="0" fontId="8" fillId="36" borderId="34" xfId="74" applyNumberFormat="1" applyFont="1" applyFill="1" applyAlignment="1">
      <alignment horizontal="left"/>
    </xf>
    <xf numFmtId="0" fontId="8" fillId="36" borderId="34" xfId="74" applyNumberFormat="1" applyFont="1" applyFill="1" applyAlignment="1">
      <alignment horizontal="right"/>
    </xf>
    <xf numFmtId="0" fontId="9" fillId="36" borderId="34" xfId="74" applyNumberFormat="1" applyFont="1" applyFill="1" applyAlignment="1">
      <alignment horizontal="left" wrapText="1"/>
    </xf>
    <xf numFmtId="0" fontId="8" fillId="36" borderId="34" xfId="74" applyNumberFormat="1" applyFont="1" applyFill="1" applyAlignment="1">
      <alignment wrapText="1"/>
    </xf>
    <xf numFmtId="0" fontId="9" fillId="36" borderId="34" xfId="74" applyNumberFormat="1" applyFont="1" applyFill="1" applyAlignment="1">
      <alignment horizontal="right" wrapText="1"/>
    </xf>
    <xf numFmtId="0" fontId="8" fillId="36" borderId="34" xfId="82" applyNumberFormat="1" applyFont="1" applyFill="1" applyAlignment="1">
      <alignment wrapText="1"/>
    </xf>
    <xf numFmtId="0" fontId="8" fillId="36" borderId="34" xfId="79" applyNumberFormat="1" applyFont="1" applyFill="1" applyBorder="1" applyAlignment="1">
      <alignment wrapText="1"/>
    </xf>
    <xf numFmtId="0" fontId="27" fillId="36" borderId="1" xfId="78" applyNumberFormat="1" applyFont="1" applyFill="1" applyAlignment="1">
      <alignment horizontal="left"/>
    </xf>
    <xf numFmtId="0" fontId="27" fillId="36" borderId="1" xfId="78" applyNumberFormat="1" applyFont="1" applyFill="1" applyAlignment="1">
      <alignment horizontal="right"/>
    </xf>
    <xf numFmtId="3" fontId="9" fillId="36" borderId="34" xfId="79" applyNumberFormat="1" applyFont="1" applyFill="1" applyBorder="1" applyAlignment="1">
      <alignment horizontal="right"/>
    </xf>
    <xf numFmtId="0" fontId="0" fillId="36" borderId="34" xfId="79" applyNumberFormat="1" applyFont="1" applyFill="1" applyBorder="1" applyAlignment="1"/>
    <xf numFmtId="0" fontId="0" fillId="36" borderId="34" xfId="74" applyNumberFormat="1" applyFont="1" applyFill="1" applyAlignment="1"/>
    <xf numFmtId="1" fontId="9" fillId="36" borderId="34" xfId="74" applyNumberFormat="1" applyFont="1" applyFill="1" applyAlignment="1">
      <alignment horizontal="right" wrapText="1"/>
    </xf>
    <xf numFmtId="0" fontId="9" fillId="0" borderId="34" xfId="74" applyNumberFormat="1" applyFont="1" applyFill="1" applyAlignment="1">
      <alignment horizontal="right"/>
    </xf>
    <xf numFmtId="0" fontId="9" fillId="0" borderId="1" xfId="78" applyNumberFormat="1" applyFont="1" applyFill="1" applyAlignment="1">
      <alignment horizontal="right"/>
    </xf>
    <xf numFmtId="0" fontId="9" fillId="0" borderId="34" xfId="82" applyNumberFormat="1" applyFont="1" applyFill="1" applyAlignment="1">
      <alignment horizontal="right"/>
    </xf>
    <xf numFmtId="0" fontId="9" fillId="36" borderId="34" xfId="82" applyNumberFormat="1" applyFont="1" applyFill="1" applyAlignment="1">
      <alignment horizontal="right"/>
    </xf>
    <xf numFmtId="0" fontId="9" fillId="36" borderId="34" xfId="79" applyNumberFormat="1" applyFont="1" applyFill="1" applyBorder="1" applyAlignment="1">
      <alignment horizontal="left"/>
    </xf>
    <xf numFmtId="0" fontId="9" fillId="0" borderId="34" xfId="79" applyNumberFormat="1" applyFont="1" applyFill="1" applyBorder="1" applyAlignment="1">
      <alignment horizontal="right"/>
    </xf>
    <xf numFmtId="164" fontId="9" fillId="36" borderId="34" xfId="82" applyNumberFormat="1" applyFont="1" applyFill="1" applyAlignment="1">
      <alignment horizontal="right"/>
    </xf>
    <xf numFmtId="164" fontId="8" fillId="36" borderId="34" xfId="82" applyNumberFormat="1" applyFont="1" applyFill="1" applyAlignment="1">
      <alignment horizontal="right"/>
    </xf>
    <xf numFmtId="164" fontId="9" fillId="36" borderId="1" xfId="78" applyNumberFormat="1" applyFont="1" applyFill="1" applyAlignment="1">
      <alignment horizontal="right"/>
    </xf>
    <xf numFmtId="164" fontId="9" fillId="36" borderId="34" xfId="79" applyNumberFormat="1" applyFont="1" applyFill="1" applyBorder="1" applyAlignment="1">
      <alignment horizontal="right"/>
    </xf>
    <xf numFmtId="164" fontId="8" fillId="36" borderId="34" xfId="79" applyNumberFormat="1" applyFont="1" applyFill="1" applyBorder="1" applyAlignment="1">
      <alignment horizontal="right"/>
    </xf>
    <xf numFmtId="167" fontId="8" fillId="36" borderId="1" xfId="78" applyNumberFormat="1" applyFont="1" applyFill="1" applyAlignment="1" applyProtection="1">
      <alignment horizontal="right"/>
    </xf>
    <xf numFmtId="167" fontId="8" fillId="36" borderId="1" xfId="78" applyNumberFormat="1" applyFont="1" applyFill="1" applyAlignment="1">
      <alignment horizontal="right"/>
    </xf>
    <xf numFmtId="0" fontId="8" fillId="36" borderId="34" xfId="74" applyNumberFormat="1" applyFont="1" applyFill="1" applyAlignment="1">
      <alignment horizontal="left" wrapText="1"/>
    </xf>
    <xf numFmtId="165" fontId="8" fillId="36" borderId="1" xfId="78" applyNumberFormat="1" applyFont="1" applyFill="1" applyAlignment="1">
      <alignment horizontal="right"/>
    </xf>
    <xf numFmtId="1" fontId="8" fillId="36" borderId="1" xfId="78" applyNumberFormat="1" applyFont="1" applyFill="1" applyAlignment="1">
      <alignment horizontal="left"/>
    </xf>
    <xf numFmtId="0" fontId="8" fillId="36" borderId="34" xfId="74" applyNumberFormat="1" applyFont="1" applyFill="1" applyAlignment="1">
      <alignment horizontal="right" wrapText="1"/>
    </xf>
    <xf numFmtId="0" fontId="0" fillId="36" borderId="1" xfId="78" applyNumberFormat="1" applyFont="1" applyFill="1" applyAlignment="1">
      <alignment horizontal="left" wrapText="1"/>
    </xf>
    <xf numFmtId="0" fontId="8" fillId="36" borderId="1" xfId="78" applyNumberFormat="1" applyFont="1" applyFill="1" applyAlignment="1">
      <alignment horizontal="left"/>
    </xf>
    <xf numFmtId="0" fontId="9" fillId="36" borderId="0" xfId="77" applyNumberFormat="1" applyFont="1" applyFill="1" applyBorder="1" applyAlignment="1">
      <alignment horizontal="right" wrapText="1"/>
    </xf>
    <xf numFmtId="0" fontId="9" fillId="36" borderId="34" xfId="74" applyNumberFormat="1" applyFont="1" applyFill="1" applyAlignment="1">
      <alignment horizontal="left"/>
    </xf>
    <xf numFmtId="49" fontId="54" fillId="36" borderId="34" xfId="74" applyNumberFormat="1" applyFont="1" applyFill="1" applyAlignment="1">
      <alignment horizontal="right" wrapText="1"/>
    </xf>
    <xf numFmtId="0" fontId="55" fillId="36" borderId="34" xfId="74" applyNumberFormat="1" applyFont="1" applyFill="1" applyAlignment="1">
      <alignment horizontal="right" wrapText="1"/>
    </xf>
    <xf numFmtId="0" fontId="8" fillId="36" borderId="0" xfId="72" applyNumberFormat="1" applyFont="1" applyFill="1" applyBorder="1" applyAlignment="1">
      <alignment horizontal="left"/>
    </xf>
    <xf numFmtId="0" fontId="8" fillId="36" borderId="0" xfId="77" applyNumberFormat="1" applyFont="1" applyFill="1" applyAlignment="1">
      <alignment horizontal="left"/>
    </xf>
    <xf numFmtId="3" fontId="9" fillId="0" borderId="34" xfId="79" applyNumberFormat="1" applyFont="1" applyFill="1" applyBorder="1" applyAlignment="1">
      <alignment horizontal="right"/>
    </xf>
    <xf numFmtId="3" fontId="9" fillId="0" borderId="34" xfId="82" applyNumberFormat="1" applyFont="1" applyFill="1" applyAlignment="1">
      <alignment horizontal="right"/>
    </xf>
    <xf numFmtId="0" fontId="50" fillId="36" borderId="0" xfId="72" applyNumberFormat="1" applyFont="1" applyFill="1" applyAlignment="1">
      <alignment horizontal="left"/>
    </xf>
    <xf numFmtId="49" fontId="38" fillId="36" borderId="0" xfId="69" applyNumberFormat="1" applyFont="1" applyFill="1" applyBorder="1" applyAlignment="1">
      <alignment horizontal="left"/>
    </xf>
    <xf numFmtId="1" fontId="9" fillId="38" borderId="2" xfId="74" applyNumberFormat="1" applyFont="1" applyFill="1" applyBorder="1" applyAlignment="1">
      <alignment horizontal="right"/>
    </xf>
    <xf numFmtId="3" fontId="8" fillId="38" borderId="27" xfId="78" applyNumberFormat="1" applyFont="1" applyFill="1" applyBorder="1" applyAlignment="1">
      <alignment horizontal="right"/>
    </xf>
    <xf numFmtId="164" fontId="8" fillId="38" borderId="1" xfId="78" applyNumberFormat="1" applyFont="1" applyFill="1" applyAlignment="1">
      <alignment horizontal="right"/>
    </xf>
    <xf numFmtId="3" fontId="8" fillId="38" borderId="32" xfId="78" applyNumberFormat="1" applyFont="1" applyFill="1" applyBorder="1" applyAlignment="1">
      <alignment horizontal="right"/>
    </xf>
    <xf numFmtId="1" fontId="9" fillId="38" borderId="27" xfId="78" applyNumberFormat="1" applyFont="1" applyFill="1" applyBorder="1" applyAlignment="1">
      <alignment horizontal="right"/>
    </xf>
    <xf numFmtId="1" fontId="9" fillId="38" borderId="34" xfId="74" quotePrefix="1" applyNumberFormat="1" applyFont="1" applyFill="1" applyAlignment="1">
      <alignment horizontal="right"/>
    </xf>
    <xf numFmtId="3" fontId="9" fillId="38" borderId="27" xfId="78" applyNumberFormat="1" applyFont="1" applyFill="1" applyBorder="1" applyAlignment="1">
      <alignment horizontal="right"/>
    </xf>
    <xf numFmtId="3" fontId="9" fillId="38" borderId="0" xfId="78" applyNumberFormat="1" applyFont="1" applyFill="1" applyBorder="1" applyAlignment="1">
      <alignment horizontal="right"/>
    </xf>
    <xf numFmtId="3" fontId="9" fillId="38" borderId="16" xfId="79" applyNumberFormat="1" applyFont="1" applyFill="1" applyBorder="1" applyAlignment="1">
      <alignment horizontal="right"/>
    </xf>
    <xf numFmtId="3" fontId="9" fillId="38" borderId="1" xfId="78" applyNumberFormat="1" applyFont="1" applyFill="1" applyBorder="1" applyAlignment="1">
      <alignment horizontal="right"/>
    </xf>
    <xf numFmtId="3" fontId="9" fillId="38" borderId="34" xfId="79" applyNumberFormat="1" applyFont="1" applyFill="1" applyBorder="1" applyAlignment="1">
      <alignment horizontal="right"/>
    </xf>
    <xf numFmtId="3" fontId="9" fillId="38" borderId="34" xfId="82" applyNumberFormat="1" applyFont="1" applyFill="1" applyAlignment="1">
      <alignment horizontal="right"/>
    </xf>
    <xf numFmtId="0" fontId="8" fillId="38" borderId="27" xfId="78" applyNumberFormat="1" applyFont="1" applyFill="1" applyBorder="1" applyAlignment="1">
      <alignment horizontal="right"/>
    </xf>
    <xf numFmtId="1" fontId="9" fillId="38" borderId="2" xfId="74" quotePrefix="1" applyNumberFormat="1" applyFont="1" applyFill="1" applyBorder="1" applyAlignment="1">
      <alignment horizontal="right"/>
    </xf>
    <xf numFmtId="0" fontId="9" fillId="38" borderId="1" xfId="78" applyNumberFormat="1" applyFont="1" applyFill="1" applyAlignment="1">
      <alignment horizontal="left"/>
    </xf>
    <xf numFmtId="3" fontId="9" fillId="38" borderId="1" xfId="78" applyNumberFormat="1" applyFont="1" applyFill="1" applyAlignment="1">
      <alignment horizontal="right"/>
    </xf>
    <xf numFmtId="3" fontId="9" fillId="38" borderId="2" xfId="79" applyNumberFormat="1" applyFont="1" applyFill="1" applyBorder="1" applyAlignment="1">
      <alignment horizontal="right"/>
    </xf>
    <xf numFmtId="3" fontId="9" fillId="38" borderId="29" xfId="78" applyNumberFormat="1" applyFont="1" applyFill="1" applyBorder="1" applyAlignment="1">
      <alignment horizontal="right"/>
    </xf>
    <xf numFmtId="0" fontId="9" fillId="38" borderId="1" xfId="78" applyNumberFormat="1" applyFont="1" applyFill="1" applyBorder="1" applyAlignment="1">
      <alignment horizontal="left"/>
    </xf>
    <xf numFmtId="0" fontId="9" fillId="38" borderId="27" xfId="78" applyNumberFormat="1" applyFont="1" applyFill="1" applyBorder="1" applyAlignment="1">
      <alignment horizontal="left"/>
    </xf>
    <xf numFmtId="3" fontId="9" fillId="38" borderId="32" xfId="78" applyNumberFormat="1" applyFont="1" applyFill="1" applyBorder="1" applyAlignment="1">
      <alignment horizontal="right"/>
    </xf>
    <xf numFmtId="49" fontId="9" fillId="38" borderId="2" xfId="74" applyNumberFormat="1" applyFont="1" applyFill="1" applyBorder="1" applyAlignment="1">
      <alignment horizontal="right" wrapText="1"/>
    </xf>
    <xf numFmtId="0" fontId="9" fillId="38" borderId="26" xfId="78" applyNumberFormat="1" applyFont="1" applyFill="1" applyBorder="1" applyAlignment="1">
      <alignment horizontal="right"/>
    </xf>
    <xf numFmtId="3" fontId="9" fillId="38" borderId="26" xfId="78" applyNumberFormat="1" applyFont="1" applyFill="1" applyBorder="1" applyAlignment="1">
      <alignment horizontal="right"/>
    </xf>
    <xf numFmtId="0" fontId="9" fillId="38" borderId="1" xfId="78" applyNumberFormat="1" applyFont="1" applyFill="1" applyAlignment="1">
      <alignment horizontal="right"/>
    </xf>
    <xf numFmtId="3" fontId="9" fillId="38" borderId="29" xfId="78" applyNumberFormat="1" applyFont="1" applyFill="1" applyBorder="1" applyAlignment="1">
      <alignment horizontal="right" wrapText="1"/>
    </xf>
    <xf numFmtId="3" fontId="9" fillId="38" borderId="27" xfId="78" applyNumberFormat="1" applyFont="1" applyFill="1" applyBorder="1" applyAlignment="1">
      <alignment horizontal="right" wrapText="1"/>
    </xf>
    <xf numFmtId="3" fontId="9" fillId="38" borderId="1" xfId="78" applyNumberFormat="1" applyFont="1" applyFill="1" applyBorder="1" applyAlignment="1">
      <alignment horizontal="right" wrapText="1"/>
    </xf>
    <xf numFmtId="49" fontId="54" fillId="38" borderId="34" xfId="74" applyNumberFormat="1" applyFont="1" applyFill="1" applyAlignment="1">
      <alignment horizontal="right" wrapText="1"/>
    </xf>
    <xf numFmtId="0" fontId="55" fillId="38" borderId="34" xfId="74" applyNumberFormat="1" applyFont="1" applyFill="1" applyAlignment="1">
      <alignment horizontal="right" wrapText="1"/>
    </xf>
    <xf numFmtId="3" fontId="9" fillId="38" borderId="31" xfId="78" applyNumberFormat="1" applyFont="1" applyFill="1" applyBorder="1" applyAlignment="1">
      <alignment horizontal="right"/>
    </xf>
    <xf numFmtId="0" fontId="43" fillId="38" borderId="0" xfId="65" applyNumberFormat="1" applyFont="1" applyFill="1" applyBorder="1" applyAlignment="1">
      <alignment horizontal="right"/>
    </xf>
    <xf numFmtId="1" fontId="9" fillId="38" borderId="0" xfId="77" applyNumberFormat="1" applyFont="1" applyFill="1" applyBorder="1" applyAlignment="1">
      <alignment horizontal="right"/>
    </xf>
    <xf numFmtId="0" fontId="9" fillId="38" borderId="30" xfId="74" applyNumberFormat="1" applyFont="1" applyFill="1" applyBorder="1" applyAlignment="1">
      <alignment horizontal="right" wrapText="1"/>
    </xf>
    <xf numFmtId="3" fontId="9" fillId="38" borderId="30" xfId="79" applyNumberFormat="1" applyFont="1" applyFill="1" applyBorder="1" applyAlignment="1">
      <alignment horizontal="right"/>
    </xf>
    <xf numFmtId="1" fontId="9" fillId="38" borderId="30" xfId="74" applyNumberFormat="1" applyFont="1" applyFill="1" applyBorder="1" applyAlignment="1">
      <alignment horizontal="right"/>
    </xf>
    <xf numFmtId="3" fontId="58" fillId="38" borderId="31" xfId="78" applyNumberFormat="1" applyFont="1" applyFill="1" applyBorder="1" applyAlignment="1">
      <alignment horizontal="right"/>
    </xf>
    <xf numFmtId="3" fontId="58" fillId="38" borderId="27" xfId="78" applyNumberFormat="1" applyFont="1" applyFill="1" applyBorder="1" applyAlignment="1">
      <alignment horizontal="right"/>
    </xf>
    <xf numFmtId="3" fontId="58" fillId="38" borderId="34" xfId="82" applyNumberFormat="1" applyFont="1" applyFill="1" applyAlignment="1">
      <alignment horizontal="right"/>
    </xf>
    <xf numFmtId="0" fontId="9" fillId="38" borderId="1" xfId="78" applyNumberFormat="1" applyFont="1" applyFill="1" applyBorder="1" applyAlignment="1">
      <alignment horizontal="right"/>
    </xf>
    <xf numFmtId="1" fontId="9" fillId="38" borderId="30" xfId="74" quotePrefix="1" applyNumberFormat="1" applyFont="1" applyFill="1" applyBorder="1" applyAlignment="1">
      <alignment horizontal="right"/>
    </xf>
    <xf numFmtId="3" fontId="9" fillId="38" borderId="30" xfId="79" quotePrefix="1" applyNumberFormat="1" applyFont="1" applyFill="1" applyBorder="1" applyAlignment="1">
      <alignment horizontal="right"/>
    </xf>
    <xf numFmtId="3" fontId="4" fillId="38" borderId="1" xfId="78" applyNumberFormat="1" applyFont="1" applyFill="1" applyBorder="1" applyAlignment="1">
      <alignment horizontal="right"/>
    </xf>
    <xf numFmtId="3" fontId="4" fillId="38" borderId="30" xfId="79" applyNumberFormat="1" applyFont="1" applyFill="1" applyBorder="1" applyAlignment="1">
      <alignment horizontal="right"/>
    </xf>
    <xf numFmtId="3" fontId="8" fillId="38" borderId="1" xfId="78" applyNumberFormat="1" applyFont="1" applyFill="1" applyBorder="1" applyAlignment="1"/>
    <xf numFmtId="0" fontId="8" fillId="38" borderId="1" xfId="78" applyFont="1" applyFill="1" applyBorder="1" applyAlignment="1">
      <alignment horizontal="right"/>
    </xf>
    <xf numFmtId="165" fontId="9" fillId="38" borderId="1" xfId="78" applyNumberFormat="1" applyFont="1" applyFill="1" applyBorder="1" applyAlignment="1">
      <alignment horizontal="right"/>
    </xf>
    <xf numFmtId="1" fontId="9" fillId="38" borderId="34" xfId="74" applyNumberFormat="1" applyFont="1" applyFill="1" applyAlignment="1">
      <alignment horizontal="right"/>
    </xf>
    <xf numFmtId="3" fontId="9" fillId="38" borderId="1" xfId="78" applyNumberFormat="1" applyFont="1" applyFill="1" applyAlignment="1">
      <alignment horizontal="right" wrapText="1"/>
    </xf>
    <xf numFmtId="3" fontId="9" fillId="38" borderId="34" xfId="79" applyNumberFormat="1" applyFont="1" applyFill="1" applyBorder="1" applyAlignment="1">
      <alignment horizontal="right" wrapText="1"/>
    </xf>
    <xf numFmtId="49" fontId="54" fillId="38" borderId="30" xfId="74" applyNumberFormat="1" applyFont="1" applyFill="1" applyBorder="1" applyAlignment="1">
      <alignment horizontal="right" wrapText="1"/>
    </xf>
    <xf numFmtId="0" fontId="9" fillId="38" borderId="34" xfId="79" applyNumberFormat="1" applyFont="1" applyFill="1" applyBorder="1" applyAlignment="1">
      <alignment horizontal="right"/>
    </xf>
    <xf numFmtId="49" fontId="9" fillId="38" borderId="30" xfId="74" applyNumberFormat="1" applyFont="1" applyFill="1" applyBorder="1" applyAlignment="1">
      <alignment horizontal="right" wrapText="1"/>
    </xf>
    <xf numFmtId="0" fontId="9" fillId="38" borderId="1" xfId="78" applyNumberFormat="1" applyFont="1" applyFill="1" applyAlignment="1">
      <alignment horizontal="right" wrapText="1"/>
    </xf>
    <xf numFmtId="0" fontId="8" fillId="38" borderId="1" xfId="78" applyNumberFormat="1" applyFont="1" applyFill="1" applyAlignment="1">
      <alignment horizontal="right"/>
    </xf>
    <xf numFmtId="3" fontId="9" fillId="38" borderId="1" xfId="78" applyNumberFormat="1" applyFont="1" applyFill="1" applyAlignment="1"/>
    <xf numFmtId="3" fontId="9" fillId="38" borderId="34" xfId="82" applyNumberFormat="1" applyFont="1" applyFill="1" applyAlignment="1"/>
    <xf numFmtId="0" fontId="9" fillId="38" borderId="0" xfId="77" applyNumberFormat="1" applyFont="1" applyFill="1" applyBorder="1" applyAlignment="1">
      <alignment horizontal="right" wrapText="1"/>
    </xf>
    <xf numFmtId="49" fontId="9" fillId="38" borderId="34" xfId="74" applyNumberFormat="1" applyFont="1" applyFill="1" applyAlignment="1">
      <alignment horizontal="right" wrapText="1"/>
    </xf>
    <xf numFmtId="49" fontId="9" fillId="38" borderId="1" xfId="78" applyNumberFormat="1" applyFont="1" applyFill="1" applyAlignment="1">
      <alignment horizontal="left"/>
    </xf>
    <xf numFmtId="3" fontId="12" fillId="38" borderId="1" xfId="78" applyNumberFormat="1" applyFont="1" applyFill="1" applyAlignment="1">
      <alignment horizontal="right"/>
    </xf>
    <xf numFmtId="2" fontId="9" fillId="38" borderId="1" xfId="78" applyNumberFormat="1" applyFont="1" applyFill="1" applyAlignment="1">
      <alignment horizontal="right"/>
    </xf>
    <xf numFmtId="0" fontId="9" fillId="38" borderId="34" xfId="74" applyNumberFormat="1" applyFont="1" applyFill="1" applyAlignment="1">
      <alignment horizontal="right" wrapText="1"/>
    </xf>
    <xf numFmtId="49" fontId="9" fillId="38" borderId="34" xfId="74" applyNumberFormat="1" applyFont="1" applyFill="1" applyBorder="1" applyAlignment="1">
      <alignment horizontal="right" wrapText="1"/>
    </xf>
    <xf numFmtId="0" fontId="27" fillId="38" borderId="1" xfId="78" applyNumberFormat="1" applyFont="1" applyFill="1" applyAlignment="1">
      <alignment horizontal="right"/>
    </xf>
    <xf numFmtId="49" fontId="9" fillId="38" borderId="0" xfId="74" applyNumberFormat="1" applyFont="1" applyFill="1" applyBorder="1" applyAlignment="1">
      <alignment horizontal="right"/>
    </xf>
    <xf numFmtId="0" fontId="9" fillId="38" borderId="0" xfId="74" applyNumberFormat="1" applyFont="1" applyFill="1" applyBorder="1" applyAlignment="1">
      <alignment horizontal="right"/>
    </xf>
    <xf numFmtId="49" fontId="9" fillId="38" borderId="34" xfId="74" applyNumberFormat="1" applyFont="1" applyFill="1" applyBorder="1" applyAlignment="1">
      <alignment horizontal="right"/>
    </xf>
    <xf numFmtId="1" fontId="9" fillId="38" borderId="34" xfId="74" applyNumberFormat="1" applyFont="1" applyFill="1" applyBorder="1" applyAlignment="1">
      <alignment horizontal="right"/>
    </xf>
    <xf numFmtId="1" fontId="9" fillId="38" borderId="34" xfId="74" applyNumberFormat="1" applyFont="1" applyFill="1" applyBorder="1" applyAlignment="1">
      <alignment horizontal="right" wrapText="1"/>
    </xf>
    <xf numFmtId="0" fontId="0" fillId="38" borderId="1" xfId="78" applyNumberFormat="1" applyFont="1" applyFill="1" applyAlignment="1"/>
    <xf numFmtId="0" fontId="0" fillId="38" borderId="34" xfId="79" applyNumberFormat="1" applyFont="1" applyFill="1" applyBorder="1" applyAlignment="1"/>
    <xf numFmtId="0" fontId="0" fillId="38" borderId="34" xfId="82" applyNumberFormat="1" applyFont="1" applyFill="1" applyAlignment="1"/>
    <xf numFmtId="1" fontId="9" fillId="38" borderId="34" xfId="74" applyNumberFormat="1" applyFont="1" applyFill="1" applyAlignment="1">
      <alignment horizontal="right" wrapText="1"/>
    </xf>
    <xf numFmtId="49" fontId="9" fillId="38" borderId="0" xfId="77" applyNumberFormat="1" applyFont="1" applyFill="1" applyBorder="1" applyAlignment="1">
      <alignment horizontal="right"/>
    </xf>
    <xf numFmtId="0" fontId="9" fillId="38" borderId="0" xfId="77" applyNumberFormat="1" applyFont="1" applyFill="1" applyBorder="1" applyAlignment="1">
      <alignment horizontal="right"/>
    </xf>
    <xf numFmtId="164" fontId="9" fillId="38" borderId="1" xfId="78" applyNumberFormat="1" applyFont="1" applyFill="1" applyAlignment="1">
      <alignment horizontal="right"/>
    </xf>
    <xf numFmtId="164" fontId="9" fillId="38" borderId="34" xfId="79" applyNumberFormat="1" applyFont="1" applyFill="1" applyBorder="1" applyAlignment="1">
      <alignment horizontal="right"/>
    </xf>
    <xf numFmtId="164" fontId="8" fillId="38" borderId="34" xfId="79" applyNumberFormat="1" applyFont="1" applyFill="1" applyBorder="1" applyAlignment="1">
      <alignment horizontal="right"/>
    </xf>
    <xf numFmtId="164" fontId="9" fillId="38" borderId="34" xfId="82" applyNumberFormat="1" applyFont="1" applyFill="1" applyAlignment="1">
      <alignment horizontal="right"/>
    </xf>
    <xf numFmtId="164" fontId="8" fillId="38" borderId="34" xfId="82" applyNumberFormat="1" applyFont="1" applyFill="1" applyAlignment="1">
      <alignment horizontal="right"/>
    </xf>
    <xf numFmtId="167" fontId="9" fillId="38" borderId="1" xfId="78" applyNumberFormat="1" applyFont="1" applyFill="1" applyAlignment="1">
      <alignment horizontal="right"/>
    </xf>
    <xf numFmtId="0" fontId="0" fillId="38" borderId="0" xfId="77" applyNumberFormat="1" applyFont="1" applyFill="1" applyAlignment="1"/>
    <xf numFmtId="49" fontId="8" fillId="38" borderId="1" xfId="78" applyNumberFormat="1" applyFont="1" applyFill="1" applyAlignment="1">
      <alignment horizontal="left" wrapText="1"/>
    </xf>
    <xf numFmtId="165" fontId="9" fillId="38" borderId="1" xfId="78" applyNumberFormat="1" applyFont="1" applyFill="1" applyAlignment="1">
      <alignment horizontal="right"/>
    </xf>
    <xf numFmtId="49" fontId="8" fillId="36" borderId="0" xfId="0" applyNumberFormat="1" applyFont="1" applyFill="1" applyAlignment="1">
      <alignment horizontal="left" vertical="top"/>
    </xf>
    <xf numFmtId="49" fontId="8" fillId="36" borderId="0" xfId="0" applyNumberFormat="1" applyFont="1" applyFill="1" applyAlignment="1">
      <alignment horizontal="right" vertical="top"/>
    </xf>
    <xf numFmtId="49" fontId="8" fillId="36" borderId="0" xfId="64" applyNumberFormat="1" applyFont="1" applyFill="1" applyBorder="1" applyAlignment="1">
      <alignment horizontal="right" vertical="top"/>
    </xf>
    <xf numFmtId="49" fontId="0" fillId="36" borderId="0" xfId="0" applyNumberFormat="1" applyFill="1" applyAlignment="1">
      <alignment vertical="top"/>
    </xf>
    <xf numFmtId="49" fontId="0" fillId="36" borderId="0" xfId="80" applyNumberFormat="1" applyFont="1" applyFill="1" applyAlignment="1">
      <alignment vertical="top"/>
    </xf>
    <xf numFmtId="49" fontId="0" fillId="0" borderId="0" xfId="0" applyNumberFormat="1" applyFill="1" applyAlignment="1">
      <alignment vertical="top"/>
    </xf>
    <xf numFmtId="164" fontId="9" fillId="38" borderId="27" xfId="78" applyNumberFormat="1" applyFont="1" applyFill="1" applyBorder="1" applyAlignment="1">
      <alignment horizontal="right"/>
    </xf>
    <xf numFmtId="0" fontId="8" fillId="38" borderId="1" xfId="78" applyNumberFormat="1" applyFont="1" applyFill="1" applyAlignment="1"/>
    <xf numFmtId="49" fontId="9" fillId="36" borderId="1" xfId="78" applyNumberFormat="1" applyFont="1" applyFill="1" applyAlignment="1">
      <alignment horizontal="left"/>
    </xf>
    <xf numFmtId="0" fontId="0" fillId="36" borderId="0" xfId="85" applyNumberFormat="1" applyFont="1" applyFill="1"/>
    <xf numFmtId="0" fontId="38" fillId="36" borderId="0" xfId="85" applyNumberFormat="1" applyFont="1" applyFill="1" applyAlignment="1">
      <alignment horizontal="left"/>
    </xf>
    <xf numFmtId="0" fontId="8" fillId="36" borderId="0" xfId="85" applyNumberFormat="1" applyFont="1" applyFill="1" applyAlignment="1">
      <alignment horizontal="left"/>
    </xf>
    <xf numFmtId="0" fontId="37" fillId="36" borderId="0" xfId="72" applyNumberFormat="1" applyFont="1" applyFill="1" applyAlignment="1">
      <alignment horizontal="left"/>
    </xf>
    <xf numFmtId="49" fontId="9" fillId="36" borderId="0" xfId="72" applyNumberFormat="1" applyFont="1" applyFill="1" applyBorder="1" applyAlignment="1">
      <alignment horizontal="left"/>
    </xf>
    <xf numFmtId="49" fontId="8" fillId="36" borderId="0" xfId="72" applyNumberFormat="1" applyFont="1" applyFill="1" applyAlignment="1">
      <alignment horizontal="left"/>
    </xf>
    <xf numFmtId="0" fontId="8" fillId="36" borderId="27" xfId="78" applyNumberFormat="1" applyFont="1" applyFill="1" applyBorder="1" applyAlignment="1">
      <alignment horizontal="left" wrapText="1"/>
    </xf>
    <xf numFmtId="0" fontId="9" fillId="36" borderId="1" xfId="78" applyNumberFormat="1" applyFont="1" applyFill="1" applyAlignment="1">
      <alignment horizontal="left"/>
    </xf>
    <xf numFmtId="49" fontId="9" fillId="36" borderId="1" xfId="78" applyNumberFormat="1" applyFont="1" applyFill="1" applyAlignment="1">
      <alignment horizontal="left"/>
    </xf>
    <xf numFmtId="49" fontId="9" fillId="36" borderId="1" xfId="78" applyNumberFormat="1" applyFont="1" applyFill="1" applyAlignment="1">
      <alignment horizontal="left" wrapText="1"/>
    </xf>
    <xf numFmtId="0" fontId="9" fillId="36" borderId="1" xfId="78" applyNumberFormat="1" applyFont="1" applyFill="1" applyAlignment="1">
      <alignment horizontal="left" wrapText="1"/>
    </xf>
    <xf numFmtId="0" fontId="9" fillId="36" borderId="0" xfId="72" applyNumberFormat="1" applyFont="1" applyFill="1" applyAlignment="1">
      <alignment horizontal="left" wrapText="1"/>
    </xf>
    <xf numFmtId="49" fontId="0" fillId="36" borderId="0" xfId="0" applyNumberFormat="1" applyFill="1" applyAlignment="1"/>
    <xf numFmtId="49" fontId="0" fillId="36" borderId="0" xfId="0" applyNumberFormat="1" applyFill="1" applyAlignment="1">
      <alignment horizontal="left" indent="1"/>
    </xf>
    <xf numFmtId="1" fontId="0" fillId="36" borderId="0" xfId="0" applyNumberFormat="1" applyFill="1" applyAlignment="1">
      <alignment horizontal="left"/>
    </xf>
    <xf numFmtId="164" fontId="9" fillId="38" borderId="1" xfId="78" applyNumberFormat="1" applyFont="1" applyFill="1" applyBorder="1" applyAlignment="1">
      <alignment horizontal="right"/>
    </xf>
    <xf numFmtId="4" fontId="9" fillId="38" borderId="27" xfId="78" applyNumberFormat="1" applyFont="1" applyFill="1" applyBorder="1" applyAlignment="1">
      <alignment horizontal="right"/>
    </xf>
    <xf numFmtId="4" fontId="9" fillId="38" borderId="1" xfId="78" applyNumberFormat="1" applyFont="1" applyFill="1" applyBorder="1" applyAlignment="1">
      <alignment horizontal="right"/>
    </xf>
    <xf numFmtId="4" fontId="8" fillId="36" borderId="1" xfId="78" applyNumberFormat="1" applyFont="1" applyFill="1" applyBorder="1" applyAlignment="1">
      <alignment horizontal="right"/>
    </xf>
    <xf numFmtId="1" fontId="8" fillId="36" borderId="0" xfId="0" applyNumberFormat="1" applyFont="1" applyFill="1" applyAlignment="1">
      <alignment horizontal="left"/>
    </xf>
    <xf numFmtId="49" fontId="0" fillId="36" borderId="0" xfId="68" applyNumberFormat="1" applyFont="1" applyFill="1" applyBorder="1" applyAlignment="1">
      <alignment vertical="top"/>
    </xf>
    <xf numFmtId="1" fontId="9" fillId="36" borderId="34" xfId="74" applyNumberFormat="1" applyFont="1" applyFill="1" applyAlignment="1">
      <alignment horizontal="left"/>
    </xf>
    <xf numFmtId="1" fontId="8" fillId="36" borderId="26" xfId="0" applyNumberFormat="1" applyFont="1" applyFill="1" applyBorder="1" applyAlignment="1">
      <alignment horizontal="left"/>
    </xf>
    <xf numFmtId="1" fontId="8" fillId="36" borderId="0" xfId="0" applyNumberFormat="1" applyFont="1" applyFill="1" applyBorder="1" applyAlignment="1">
      <alignment horizontal="left"/>
    </xf>
    <xf numFmtId="49" fontId="9" fillId="36" borderId="34" xfId="74" applyNumberFormat="1" applyFont="1" applyFill="1" applyAlignment="1">
      <alignment wrapText="1"/>
    </xf>
    <xf numFmtId="49" fontId="8" fillId="36" borderId="1" xfId="78" applyNumberFormat="1" applyFont="1" applyFill="1" applyAlignment="1"/>
    <xf numFmtId="3" fontId="75" fillId="36" borderId="1" xfId="78" applyNumberFormat="1" applyFont="1" applyFill="1" applyAlignment="1">
      <alignment horizontal="right"/>
    </xf>
    <xf numFmtId="0" fontId="75" fillId="36" borderId="1" xfId="78" applyNumberFormat="1" applyFont="1" applyFill="1" applyAlignment="1">
      <alignment horizontal="right"/>
    </xf>
    <xf numFmtId="3" fontId="75" fillId="36" borderId="1" xfId="78" applyNumberFormat="1" applyFont="1" applyFill="1" applyBorder="1" applyAlignment="1">
      <alignment horizontal="right"/>
    </xf>
    <xf numFmtId="3" fontId="9" fillId="36" borderId="32" xfId="78" applyNumberFormat="1" applyFont="1" applyFill="1" applyBorder="1" applyAlignment="1">
      <alignment horizontal="right" wrapText="1"/>
    </xf>
    <xf numFmtId="3" fontId="8" fillId="36" borderId="32" xfId="78" applyNumberFormat="1" applyFont="1" applyFill="1" applyBorder="1" applyAlignment="1">
      <alignment horizontal="right" wrapText="1"/>
    </xf>
    <xf numFmtId="49" fontId="8" fillId="36" borderId="1" xfId="78" applyNumberFormat="1" applyFont="1" applyFill="1" applyAlignment="1">
      <alignment horizontal="left" wrapText="1"/>
    </xf>
    <xf numFmtId="49" fontId="8" fillId="36" borderId="1" xfId="78" applyNumberFormat="1" applyFont="1" applyFill="1" applyAlignment="1">
      <alignment horizontal="left"/>
    </xf>
    <xf numFmtId="0" fontId="34" fillId="36" borderId="0" xfId="67" applyNumberFormat="1" applyFont="1" applyFill="1" applyBorder="1" applyAlignment="1">
      <alignment horizontal="right"/>
    </xf>
    <xf numFmtId="3" fontId="11" fillId="36" borderId="1" xfId="78" applyNumberFormat="1" applyFont="1" applyFill="1" applyAlignment="1" applyProtection="1">
      <alignment horizontal="right"/>
    </xf>
    <xf numFmtId="0" fontId="4" fillId="36" borderId="1" xfId="78" applyFont="1" applyFill="1" applyAlignment="1"/>
    <xf numFmtId="0" fontId="11" fillId="36" borderId="1" xfId="78" applyNumberFormat="1" applyFont="1" applyFill="1" applyAlignment="1" applyProtection="1">
      <alignment horizontal="right"/>
    </xf>
    <xf numFmtId="3" fontId="56" fillId="36" borderId="1" xfId="78" applyNumberFormat="1" applyFont="1" applyFill="1" applyAlignment="1" applyProtection="1">
      <alignment horizontal="right"/>
    </xf>
    <xf numFmtId="3" fontId="9" fillId="36" borderId="1" xfId="78" applyNumberFormat="1" applyFont="1" applyFill="1" applyAlignment="1">
      <alignment horizontal="right" wrapText="1"/>
    </xf>
    <xf numFmtId="49" fontId="8" fillId="36" borderId="0" xfId="0" applyNumberFormat="1" applyFont="1" applyFill="1" applyAlignment="1">
      <alignment horizontal="left"/>
    </xf>
    <xf numFmtId="49" fontId="9" fillId="36" borderId="1" xfId="78" applyNumberFormat="1" applyFont="1" applyFill="1" applyAlignment="1">
      <alignment horizontal="left" wrapText="1"/>
    </xf>
    <xf numFmtId="49" fontId="9" fillId="36" borderId="27" xfId="78" applyNumberFormat="1" applyFont="1" applyFill="1" applyBorder="1" applyAlignment="1"/>
    <xf numFmtId="49" fontId="9" fillId="38" borderId="1" xfId="78" applyNumberFormat="1" applyFont="1" applyFill="1" applyAlignment="1">
      <alignment horizontal="right"/>
    </xf>
    <xf numFmtId="0" fontId="8" fillId="0" borderId="34" xfId="79" applyNumberFormat="1" applyFont="1" applyFill="1" applyBorder="1" applyAlignment="1">
      <alignment horizontal="left"/>
    </xf>
    <xf numFmtId="0" fontId="8" fillId="36" borderId="1" xfId="78" applyNumberFormat="1" applyFont="1" applyFill="1" applyAlignment="1">
      <alignment horizontal="left"/>
    </xf>
    <xf numFmtId="49" fontId="9" fillId="36" borderId="0" xfId="4" applyNumberFormat="1" applyFont="1" applyFill="1" applyBorder="1" applyAlignment="1">
      <alignment horizontal="left"/>
    </xf>
    <xf numFmtId="49" fontId="9" fillId="36" borderId="1" xfId="78" applyNumberFormat="1" applyFont="1" applyFill="1" applyAlignment="1">
      <alignment horizontal="left" wrapText="1"/>
    </xf>
    <xf numFmtId="1" fontId="9" fillId="36" borderId="34" xfId="74" applyNumberFormat="1" applyFont="1" applyFill="1" applyAlignment="1">
      <alignment horizontal="left"/>
    </xf>
    <xf numFmtId="3" fontId="8" fillId="0" borderId="26" xfId="78" applyNumberFormat="1" applyFont="1" applyFill="1" applyBorder="1" applyAlignment="1">
      <alignment horizontal="right"/>
    </xf>
    <xf numFmtId="3" fontId="8" fillId="0" borderId="16" xfId="79" applyNumberFormat="1" applyFont="1" applyFill="1" applyBorder="1" applyAlignment="1">
      <alignment horizontal="right"/>
    </xf>
    <xf numFmtId="3" fontId="8" fillId="0" borderId="1" xfId="78" applyNumberFormat="1" applyFont="1" applyFill="1" applyBorder="1" applyAlignment="1">
      <alignment horizontal="right"/>
    </xf>
    <xf numFmtId="3" fontId="8" fillId="0" borderId="30" xfId="79" applyNumberFormat="1" applyFont="1" applyFill="1" applyBorder="1" applyAlignment="1">
      <alignment horizontal="right"/>
    </xf>
    <xf numFmtId="0" fontId="54" fillId="38" borderId="30" xfId="74" applyNumberFormat="1" applyFont="1" applyFill="1" applyBorder="1" applyAlignment="1">
      <alignment horizontal="right" wrapText="1"/>
    </xf>
    <xf numFmtId="0" fontId="54" fillId="36" borderId="30" xfId="74" applyNumberFormat="1" applyFont="1" applyFill="1" applyBorder="1" applyAlignment="1">
      <alignment horizontal="right" wrapText="1"/>
    </xf>
    <xf numFmtId="49" fontId="8" fillId="36" borderId="27" xfId="78" applyNumberFormat="1" applyFont="1" applyFill="1" applyBorder="1" applyAlignment="1">
      <alignment horizontal="left"/>
    </xf>
    <xf numFmtId="49" fontId="8" fillId="36" borderId="1" xfId="78" applyNumberFormat="1" applyFont="1" applyFill="1" applyBorder="1" applyAlignment="1">
      <alignment horizontal="left"/>
    </xf>
    <xf numFmtId="49" fontId="8" fillId="36" borderId="1" xfId="78" applyNumberFormat="1" applyFont="1" applyFill="1" applyAlignment="1">
      <alignment horizontal="left"/>
    </xf>
    <xf numFmtId="49" fontId="9" fillId="36" borderId="0" xfId="74" applyNumberFormat="1" applyFont="1" applyFill="1" applyBorder="1" applyAlignment="1">
      <alignment horizontal="right"/>
    </xf>
    <xf numFmtId="49" fontId="9" fillId="38" borderId="0" xfId="74" applyNumberFormat="1" applyFont="1" applyFill="1" applyBorder="1" applyAlignment="1">
      <alignment horizontal="right"/>
    </xf>
    <xf numFmtId="49" fontId="8" fillId="38" borderId="0" xfId="74" applyNumberFormat="1" applyFont="1" applyFill="1" applyBorder="1" applyAlignment="1">
      <alignment horizontal="right"/>
    </xf>
    <xf numFmtId="49" fontId="9" fillId="36" borderId="34" xfId="82" applyNumberFormat="1" applyFont="1" applyFill="1" applyAlignment="1">
      <alignment horizontal="left"/>
    </xf>
    <xf numFmtId="49" fontId="9" fillId="36" borderId="34" xfId="74" applyNumberFormat="1" applyFont="1" applyFill="1" applyAlignment="1">
      <alignment horizontal="left"/>
    </xf>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49" fontId="9" fillId="36" borderId="1" xfId="78" applyNumberFormat="1" applyFont="1" applyFill="1" applyAlignment="1">
      <alignment horizontal="left"/>
    </xf>
    <xf numFmtId="49" fontId="8" fillId="36" borderId="1" xfId="78" applyNumberFormat="1" applyFont="1" applyFill="1" applyAlignment="1">
      <alignment horizontal="left"/>
    </xf>
    <xf numFmtId="49" fontId="8" fillId="36" borderId="34" xfId="79" applyNumberFormat="1" applyFont="1" applyFill="1" applyBorder="1" applyAlignment="1">
      <alignment horizontal="left"/>
    </xf>
    <xf numFmtId="0" fontId="54" fillId="0" borderId="34" xfId="74" applyNumberFormat="1" applyFont="1" applyFill="1" applyAlignment="1">
      <alignment horizontal="right" wrapText="1"/>
    </xf>
    <xf numFmtId="49" fontId="8" fillId="36" borderId="0" xfId="4" applyNumberFormat="1" applyFont="1" applyFill="1" applyAlignment="1">
      <alignment horizontal="right" wrapText="1"/>
    </xf>
    <xf numFmtId="49" fontId="8" fillId="36" borderId="0" xfId="0" applyNumberFormat="1" applyFont="1" applyFill="1" applyAlignment="1">
      <alignment horizontal="right" wrapText="1"/>
    </xf>
    <xf numFmtId="49" fontId="9" fillId="36" borderId="34" xfId="74" applyNumberFormat="1" applyFont="1" applyFill="1" applyAlignment="1">
      <alignment horizontal="right"/>
    </xf>
    <xf numFmtId="0" fontId="33" fillId="36" borderId="0" xfId="76" applyNumberFormat="1" applyFill="1"/>
    <xf numFmtId="0" fontId="8" fillId="36" borderId="26" xfId="4" applyFont="1" applyFill="1" applyBorder="1"/>
    <xf numFmtId="0" fontId="8" fillId="36" borderId="26" xfId="72" applyFont="1" applyFill="1" applyBorder="1" applyAlignment="1"/>
    <xf numFmtId="0" fontId="0" fillId="36" borderId="0" xfId="0" applyFill="1"/>
    <xf numFmtId="3" fontId="8" fillId="0" borderId="29" xfId="78" applyNumberFormat="1" applyFont="1" applyFill="1" applyBorder="1" applyAlignment="1">
      <alignment horizontal="right"/>
    </xf>
    <xf numFmtId="3" fontId="9" fillId="38" borderId="27" xfId="78" quotePrefix="1" applyNumberFormat="1" applyFont="1" applyFill="1" applyBorder="1" applyAlignment="1">
      <alignment horizontal="right"/>
    </xf>
    <xf numFmtId="3" fontId="9" fillId="38" borderId="1" xfId="78" quotePrefix="1" applyNumberFormat="1" applyFont="1" applyFill="1" applyAlignment="1">
      <alignment horizontal="right"/>
    </xf>
    <xf numFmtId="164" fontId="9" fillId="38" borderId="27" xfId="78" quotePrefix="1" applyNumberFormat="1" applyFont="1" applyFill="1" applyBorder="1" applyAlignment="1">
      <alignment horizontal="right"/>
    </xf>
    <xf numFmtId="164" fontId="8" fillId="36" borderId="27" xfId="78" quotePrefix="1" applyNumberFormat="1" applyFont="1" applyFill="1" applyBorder="1" applyAlignment="1">
      <alignment horizontal="right"/>
    </xf>
    <xf numFmtId="0" fontId="8" fillId="36" borderId="1" xfId="78" applyFont="1" applyFill="1" applyAlignment="1">
      <alignment horizontal="left"/>
    </xf>
    <xf numFmtId="0" fontId="8" fillId="36" borderId="0" xfId="4" applyNumberFormat="1" applyFont="1" applyFill="1" applyAlignment="1">
      <alignment horizontal="left" wrapText="1"/>
    </xf>
    <xf numFmtId="49" fontId="8" fillId="36" borderId="0" xfId="0" applyNumberFormat="1" applyFont="1" applyFill="1" applyBorder="1" applyAlignment="1">
      <alignment horizontal="left" wrapText="1"/>
    </xf>
    <xf numFmtId="0" fontId="0" fillId="36" borderId="0" xfId="0" applyFill="1"/>
    <xf numFmtId="49" fontId="8" fillId="36" borderId="34" xfId="79" applyNumberFormat="1" applyFont="1" applyFill="1" applyBorder="1" applyAlignment="1">
      <alignment horizontal="left" wrapText="1"/>
    </xf>
    <xf numFmtId="49" fontId="8" fillId="36" borderId="1" xfId="78" applyNumberFormat="1" applyFont="1" applyFill="1" applyAlignment="1">
      <alignment horizontal="left" wrapText="1"/>
    </xf>
    <xf numFmtId="0" fontId="8" fillId="36" borderId="1" xfId="78" applyNumberFormat="1" applyFont="1" applyFill="1" applyAlignment="1">
      <alignment horizontal="left"/>
    </xf>
    <xf numFmtId="0" fontId="8" fillId="36" borderId="1" xfId="78" applyFont="1" applyFill="1" applyAlignment="1"/>
    <xf numFmtId="0" fontId="8" fillId="36" borderId="0" xfId="4" applyNumberFormat="1" applyFont="1" applyFill="1" applyBorder="1" applyAlignment="1">
      <alignment horizontal="left" wrapText="1"/>
    </xf>
    <xf numFmtId="0" fontId="8" fillId="36" borderId="0" xfId="0" applyNumberFormat="1" applyFont="1" applyFill="1" applyAlignment="1">
      <alignment horizontal="left"/>
    </xf>
    <xf numFmtId="49" fontId="9" fillId="36" borderId="1" xfId="78" applyNumberFormat="1" applyFont="1" applyFill="1" applyAlignment="1">
      <alignment horizontal="left"/>
    </xf>
    <xf numFmtId="49" fontId="8" fillId="36" borderId="34" xfId="79" applyNumberFormat="1" applyFont="1" applyFill="1" applyBorder="1" applyAlignment="1">
      <alignment horizontal="left"/>
    </xf>
    <xf numFmtId="0" fontId="0" fillId="36" borderId="0" xfId="0" applyFill="1"/>
    <xf numFmtId="0" fontId="48" fillId="36" borderId="0" xfId="72" applyFont="1" applyFill="1" applyAlignment="1"/>
    <xf numFmtId="0" fontId="8" fillId="38" borderId="1" xfId="78" applyNumberFormat="1" applyFont="1" applyFill="1" applyAlignment="1">
      <alignment horizontal="left" wrapText="1"/>
    </xf>
    <xf numFmtId="0" fontId="8" fillId="36" borderId="1" xfId="78" applyNumberFormat="1" applyFont="1" applyFill="1" applyAlignment="1">
      <alignment horizontal="left"/>
    </xf>
    <xf numFmtId="0" fontId="8" fillId="36" borderId="1" xfId="78" applyFont="1" applyFill="1" applyAlignment="1"/>
    <xf numFmtId="49" fontId="9" fillId="36" borderId="27" xfId="78" applyNumberFormat="1" applyFont="1" applyFill="1" applyBorder="1" applyAlignment="1">
      <alignment horizontal="left"/>
    </xf>
    <xf numFmtId="49" fontId="8" fillId="36" borderId="1" xfId="78" applyNumberFormat="1" applyFont="1" applyFill="1" applyAlignment="1">
      <alignment horizontal="left"/>
    </xf>
    <xf numFmtId="0" fontId="0" fillId="36" borderId="0" xfId="67" applyFont="1" applyFill="1" applyBorder="1" applyAlignment="1"/>
    <xf numFmtId="49" fontId="8" fillId="36" borderId="1" xfId="78" applyNumberFormat="1" applyFont="1" applyFill="1" applyAlignment="1">
      <alignment horizontal="left" wrapText="1"/>
    </xf>
    <xf numFmtId="49" fontId="9" fillId="36" borderId="34" xfId="82" applyNumberFormat="1" applyFont="1" applyFill="1" applyAlignment="1">
      <alignment horizontal="left"/>
    </xf>
    <xf numFmtId="0" fontId="8" fillId="36" borderId="1" xfId="78" applyNumberFormat="1" applyFont="1" applyFill="1" applyBorder="1" applyAlignment="1">
      <alignment horizontal="left"/>
    </xf>
    <xf numFmtId="164" fontId="9" fillId="38" borderId="16" xfId="79" applyNumberFormat="1" applyFont="1" applyFill="1" applyBorder="1" applyAlignment="1">
      <alignment horizontal="right"/>
    </xf>
    <xf numFmtId="164" fontId="8" fillId="36" borderId="16" xfId="79" applyNumberFormat="1" applyFont="1" applyFill="1" applyBorder="1" applyAlignment="1">
      <alignment horizontal="right"/>
    </xf>
    <xf numFmtId="49" fontId="8" fillId="0" borderId="27" xfId="78" applyNumberFormat="1" applyFont="1" applyFill="1" applyBorder="1" applyAlignment="1">
      <alignment horizontal="left"/>
    </xf>
    <xf numFmtId="49" fontId="8" fillId="0" borderId="30" xfId="79" applyNumberFormat="1" applyFont="1" applyFill="1" applyBorder="1" applyAlignment="1">
      <alignment horizontal="left"/>
    </xf>
    <xf numFmtId="49" fontId="9" fillId="36" borderId="34" xfId="82" applyNumberFormat="1" applyFont="1" applyFill="1" applyAlignment="1">
      <alignment horizontal="left"/>
    </xf>
    <xf numFmtId="49" fontId="9" fillId="36" borderId="34" xfId="74" applyNumberFormat="1" applyFont="1" applyFill="1" applyAlignment="1">
      <alignment horizontal="left"/>
    </xf>
    <xf numFmtId="49" fontId="9" fillId="36" borderId="1" xfId="78" applyNumberFormat="1" applyFont="1" applyFill="1" applyAlignment="1">
      <alignment horizontal="left"/>
    </xf>
    <xf numFmtId="49" fontId="8" fillId="36" borderId="1" xfId="78" applyNumberFormat="1" applyFont="1" applyFill="1" applyAlignment="1">
      <alignment horizontal="left"/>
    </xf>
    <xf numFmtId="49" fontId="8" fillId="36" borderId="34" xfId="79" applyNumberFormat="1" applyFont="1" applyFill="1" applyBorder="1" applyAlignment="1">
      <alignment horizontal="left"/>
    </xf>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49" fontId="8" fillId="36" borderId="0" xfId="0" applyNumberFormat="1" applyFont="1" applyFill="1" applyAlignment="1">
      <alignment horizontal="left"/>
    </xf>
    <xf numFmtId="164" fontId="38" fillId="36" borderId="0" xfId="0" applyNumberFormat="1" applyFont="1" applyFill="1" applyAlignment="1">
      <alignment horizontal="right"/>
    </xf>
    <xf numFmtId="164" fontId="8" fillId="36" borderId="0" xfId="0" applyNumberFormat="1" applyFont="1" applyFill="1" applyAlignment="1">
      <alignment horizontal="right"/>
    </xf>
    <xf numFmtId="3" fontId="9" fillId="38" borderId="30" xfId="79" applyNumberFormat="1" applyFont="1" applyFill="1" applyAlignment="1">
      <alignment horizontal="right"/>
    </xf>
    <xf numFmtId="3" fontId="58" fillId="38" borderId="1" xfId="78" applyNumberFormat="1" applyFont="1" applyFill="1" applyAlignment="1">
      <alignment horizontal="right"/>
    </xf>
    <xf numFmtId="0" fontId="58" fillId="38" borderId="1" xfId="78" applyFont="1" applyFill="1" applyAlignment="1">
      <alignment horizontal="right"/>
    </xf>
    <xf numFmtId="2" fontId="58" fillId="38" borderId="1" xfId="78" applyNumberFormat="1" applyFont="1" applyFill="1" applyAlignment="1">
      <alignment horizontal="right"/>
    </xf>
    <xf numFmtId="3" fontId="58" fillId="38" borderId="30" xfId="79" applyNumberFormat="1" applyFont="1" applyFill="1" applyAlignment="1">
      <alignment horizontal="right"/>
    </xf>
    <xf numFmtId="0" fontId="0" fillId="36" borderId="0" xfId="0" applyFill="1"/>
    <xf numFmtId="49" fontId="8" fillId="36" borderId="34" xfId="79" applyNumberFormat="1" applyFont="1" applyFill="1" applyBorder="1" applyAlignment="1">
      <alignment horizontal="left"/>
    </xf>
    <xf numFmtId="0" fontId="0" fillId="36" borderId="0" xfId="0" applyFill="1"/>
    <xf numFmtId="49" fontId="8" fillId="36" borderId="0" xfId="0" applyNumberFormat="1" applyFont="1" applyFill="1" applyAlignment="1">
      <alignment horizontal="left"/>
    </xf>
    <xf numFmtId="49" fontId="8" fillId="36" borderId="27" xfId="78" applyNumberFormat="1" applyFont="1" applyFill="1" applyBorder="1" applyAlignment="1">
      <alignment horizontal="left"/>
    </xf>
    <xf numFmtId="49" fontId="9" fillId="38" borderId="1" xfId="78" quotePrefix="1" applyNumberFormat="1" applyFont="1" applyFill="1" applyAlignment="1">
      <alignment horizontal="right" wrapText="1"/>
    </xf>
    <xf numFmtId="49" fontId="9" fillId="36" borderId="1" xfId="78" quotePrefix="1" applyNumberFormat="1" applyFont="1" applyFill="1" applyAlignment="1">
      <alignment horizontal="right" wrapText="1"/>
    </xf>
    <xf numFmtId="0" fontId="41" fillId="36" borderId="1" xfId="78" applyNumberFormat="1" applyFont="1" applyFill="1" applyAlignment="1">
      <alignment horizontal="left"/>
    </xf>
    <xf numFmtId="0" fontId="40" fillId="36" borderId="1" xfId="78" applyNumberFormat="1" applyFont="1" applyFill="1" applyAlignment="1">
      <alignment horizontal="right"/>
    </xf>
    <xf numFmtId="0" fontId="41" fillId="38" borderId="1" xfId="78" applyNumberFormat="1" applyFont="1" applyFill="1" applyAlignment="1">
      <alignment horizontal="right"/>
    </xf>
    <xf numFmtId="3" fontId="8" fillId="0" borderId="1" xfId="78" applyNumberFormat="1" applyFont="1" applyFill="1" applyBorder="1" applyAlignment="1">
      <alignment horizontal="right" vertical="top"/>
    </xf>
    <xf numFmtId="49" fontId="9" fillId="38" borderId="0" xfId="74" applyNumberFormat="1" applyFont="1" applyFill="1" applyBorder="1" applyAlignment="1">
      <alignment horizontal="left"/>
    </xf>
    <xf numFmtId="49" fontId="8" fillId="36" borderId="1" xfId="78" applyNumberFormat="1" applyFont="1" applyFill="1" applyAlignment="1">
      <alignment horizontal="left" wrapText="1"/>
    </xf>
    <xf numFmtId="49" fontId="8" fillId="36" borderId="1" xfId="78" applyNumberFormat="1" applyFont="1" applyFill="1" applyBorder="1" applyAlignment="1">
      <alignment horizontal="left" wrapText="1"/>
    </xf>
    <xf numFmtId="49" fontId="8" fillId="36" borderId="1" xfId="78" applyNumberFormat="1" applyFont="1" applyFill="1" applyAlignment="1">
      <alignment horizontal="left"/>
    </xf>
    <xf numFmtId="0" fontId="8" fillId="36" borderId="1" xfId="78" applyNumberFormat="1" applyFont="1" applyFill="1" applyAlignment="1">
      <alignment horizontal="left"/>
    </xf>
    <xf numFmtId="0" fontId="0" fillId="36" borderId="0" xfId="0" applyFill="1"/>
    <xf numFmtId="49" fontId="8" fillId="36" borderId="27" xfId="78" applyNumberFormat="1" applyFont="1" applyFill="1" applyBorder="1" applyAlignment="1">
      <alignment horizontal="left"/>
    </xf>
    <xf numFmtId="49" fontId="9" fillId="36" borderId="34" xfId="82" applyNumberFormat="1" applyFont="1" applyFill="1" applyAlignment="1">
      <alignment horizontal="left"/>
    </xf>
    <xf numFmtId="49" fontId="9" fillId="36" borderId="1" xfId="78" applyNumberFormat="1" applyFont="1" applyFill="1" applyAlignment="1">
      <alignment horizontal="left"/>
    </xf>
    <xf numFmtId="49" fontId="8" fillId="36" borderId="34" xfId="79" applyNumberFormat="1" applyFont="1" applyFill="1" applyBorder="1" applyAlignment="1">
      <alignment horizontal="left"/>
    </xf>
    <xf numFmtId="49" fontId="8" fillId="36" borderId="0" xfId="0" applyNumberFormat="1" applyFont="1" applyFill="1" applyAlignment="1">
      <alignment horizontal="left"/>
    </xf>
    <xf numFmtId="0" fontId="8" fillId="36" borderId="0" xfId="0" applyNumberFormat="1" applyFont="1" applyFill="1" applyAlignment="1">
      <alignment horizontal="left"/>
    </xf>
    <xf numFmtId="49" fontId="9" fillId="36" borderId="30" xfId="74" applyNumberFormat="1" applyFont="1" applyFill="1" applyBorder="1" applyAlignment="1">
      <alignment horizontal="left"/>
    </xf>
    <xf numFmtId="0" fontId="31" fillId="36" borderId="0" xfId="4" applyNumberFormat="1" applyFont="1" applyFill="1" applyAlignment="1">
      <alignment horizontal="left"/>
    </xf>
    <xf numFmtId="0" fontId="0" fillId="36" borderId="0" xfId="0" applyFill="1"/>
    <xf numFmtId="49" fontId="9" fillId="38" borderId="1" xfId="78" applyNumberFormat="1" applyFont="1" applyFill="1" applyAlignment="1">
      <alignment horizontal="right" wrapText="1"/>
    </xf>
    <xf numFmtId="49" fontId="9" fillId="36" borderId="1" xfId="78" applyNumberFormat="1" applyFont="1" applyFill="1" applyAlignment="1">
      <alignment horizontal="right" wrapText="1"/>
    </xf>
    <xf numFmtId="0" fontId="0" fillId="36" borderId="0" xfId="65" applyNumberFormat="1" applyFont="1" applyFill="1" applyBorder="1" applyAlignment="1"/>
    <xf numFmtId="1" fontId="0" fillId="36" borderId="0" xfId="65" applyNumberFormat="1" applyFont="1" applyFill="1" applyBorder="1" applyAlignment="1"/>
    <xf numFmtId="0" fontId="0" fillId="36" borderId="0" xfId="0" applyFill="1"/>
    <xf numFmtId="0" fontId="8" fillId="36" borderId="0" xfId="0" applyNumberFormat="1" applyFont="1" applyFill="1" applyAlignment="1">
      <alignment horizontal="left"/>
    </xf>
    <xf numFmtId="0" fontId="0" fillId="36" borderId="0" xfId="0" applyFill="1"/>
    <xf numFmtId="49" fontId="8" fillId="36" borderId="1" xfId="78" applyNumberFormat="1" applyFont="1" applyFill="1" applyAlignment="1">
      <alignment horizontal="left" wrapText="1"/>
    </xf>
    <xf numFmtId="49" fontId="8" fillId="36" borderId="1" xfId="78" applyNumberFormat="1" applyFont="1" applyFill="1" applyAlignment="1">
      <alignment horizontal="left"/>
    </xf>
    <xf numFmtId="0" fontId="8" fillId="36" borderId="1" xfId="78" applyNumberFormat="1" applyFont="1" applyFill="1" applyAlignment="1">
      <alignment horizontal="left"/>
    </xf>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0" fontId="8" fillId="36" borderId="0" xfId="0" applyNumberFormat="1" applyFont="1" applyFill="1" applyAlignment="1">
      <alignment horizontal="left"/>
    </xf>
    <xf numFmtId="0" fontId="0" fillId="36" borderId="0" xfId="0" applyNumberFormat="1" applyFill="1"/>
    <xf numFmtId="0" fontId="0" fillId="36" borderId="0" xfId="0" applyFill="1"/>
    <xf numFmtId="49" fontId="8" fillId="36" borderId="1" xfId="78" applyNumberFormat="1" applyFont="1" applyFill="1" applyAlignment="1">
      <alignment horizontal="left" wrapText="1"/>
    </xf>
    <xf numFmtId="0" fontId="0" fillId="36" borderId="0" xfId="0" applyFill="1"/>
    <xf numFmtId="0" fontId="8" fillId="36" borderId="0" xfId="4" applyNumberFormat="1" applyFont="1" applyFill="1" applyAlignment="1">
      <alignment horizontal="right" wrapText="1"/>
    </xf>
    <xf numFmtId="2" fontId="8" fillId="36" borderId="34" xfId="79" applyNumberFormat="1" applyFont="1" applyFill="1" applyBorder="1" applyAlignment="1">
      <alignment horizontal="left"/>
    </xf>
    <xf numFmtId="0" fontId="31" fillId="36" borderId="0" xfId="73" applyNumberFormat="1" applyFont="1" applyFill="1" applyBorder="1" applyAlignment="1">
      <alignment horizontal="left"/>
    </xf>
    <xf numFmtId="3" fontId="8" fillId="36" borderId="1" xfId="78" applyNumberFormat="1" applyFont="1" applyFill="1" applyAlignment="1">
      <alignment horizontal="left" wrapText="1"/>
    </xf>
    <xf numFmtId="0" fontId="0" fillId="36" borderId="0" xfId="0" applyFill="1"/>
    <xf numFmtId="49" fontId="8" fillId="36" borderId="1" xfId="78" applyNumberFormat="1" applyFont="1" applyFill="1" applyAlignment="1">
      <alignment horizontal="left" wrapText="1"/>
    </xf>
    <xf numFmtId="0" fontId="8" fillId="36" borderId="1" xfId="78" applyNumberFormat="1" applyFont="1" applyFill="1" applyAlignment="1">
      <alignment horizontal="left"/>
    </xf>
    <xf numFmtId="0" fontId="8" fillId="36" borderId="0" xfId="0" applyNumberFormat="1" applyFont="1" applyFill="1" applyAlignment="1">
      <alignment horizontal="left"/>
    </xf>
    <xf numFmtId="0" fontId="0" fillId="36" borderId="0" xfId="0" applyFill="1"/>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0" fontId="0" fillId="36" borderId="0" xfId="0" applyFill="1"/>
    <xf numFmtId="0" fontId="8" fillId="36" borderId="0" xfId="0" applyNumberFormat="1" applyFont="1" applyFill="1" applyAlignment="1">
      <alignment horizontal="left"/>
    </xf>
    <xf numFmtId="0" fontId="9" fillId="36" borderId="34" xfId="74" applyNumberFormat="1" applyFont="1" applyFill="1" applyAlignment="1"/>
    <xf numFmtId="0" fontId="0" fillId="36" borderId="0" xfId="0" applyNumberFormat="1" applyFill="1"/>
    <xf numFmtId="0" fontId="0" fillId="36" borderId="0" xfId="0" applyFill="1"/>
    <xf numFmtId="49" fontId="8" fillId="36" borderId="34" xfId="79" applyNumberFormat="1" applyFont="1" applyFill="1" applyBorder="1" applyAlignment="1">
      <alignment horizontal="left" wrapText="1"/>
    </xf>
    <xf numFmtId="49" fontId="9" fillId="36" borderId="0" xfId="4" applyNumberFormat="1" applyFont="1" applyFill="1" applyAlignment="1">
      <alignment horizontal="left"/>
    </xf>
    <xf numFmtId="49" fontId="0" fillId="36" borderId="0" xfId="0" applyNumberFormat="1" applyFill="1" applyAlignment="1">
      <alignment horizontal="left"/>
    </xf>
    <xf numFmtId="0" fontId="0" fillId="36" borderId="0" xfId="0" applyFill="1"/>
    <xf numFmtId="0" fontId="9" fillId="36" borderId="34" xfId="82" applyNumberFormat="1" applyFont="1" applyFill="1" applyAlignment="1"/>
    <xf numFmtId="49" fontId="8" fillId="36" borderId="0" xfId="0" applyNumberFormat="1" applyFont="1" applyFill="1" applyAlignment="1">
      <alignment horizontal="left"/>
    </xf>
    <xf numFmtId="0" fontId="0" fillId="36" borderId="0" xfId="0" applyFill="1"/>
    <xf numFmtId="0" fontId="0" fillId="36" borderId="0" xfId="0" applyFill="1"/>
    <xf numFmtId="0" fontId="8" fillId="36" borderId="1" xfId="78" applyNumberFormat="1" applyFont="1" applyFill="1" applyAlignment="1">
      <alignment horizontal="left"/>
    </xf>
    <xf numFmtId="0" fontId="9" fillId="38" borderId="34" xfId="74" applyNumberFormat="1" applyFont="1" applyFill="1" applyAlignment="1">
      <alignment horizontal="right"/>
    </xf>
    <xf numFmtId="0" fontId="8" fillId="38" borderId="34" xfId="79" applyNumberFormat="1" applyFont="1" applyFill="1" applyBorder="1" applyAlignment="1">
      <alignment horizontal="right"/>
    </xf>
    <xf numFmtId="49" fontId="54" fillId="38" borderId="34" xfId="74" applyNumberFormat="1" applyFont="1" applyFill="1" applyAlignment="1">
      <alignment horizontal="right" wrapText="1"/>
    </xf>
    <xf numFmtId="49" fontId="54" fillId="36" borderId="34" xfId="74" applyNumberFormat="1" applyFont="1" applyFill="1" applyAlignment="1">
      <alignment horizontal="right" wrapText="1"/>
    </xf>
    <xf numFmtId="0" fontId="0" fillId="36" borderId="0" xfId="0" applyFill="1"/>
    <xf numFmtId="0" fontId="9" fillId="38" borderId="34" xfId="74" applyNumberFormat="1" applyFont="1" applyFill="1" applyAlignment="1"/>
    <xf numFmtId="3" fontId="8" fillId="38" borderId="1" xfId="78" applyNumberFormat="1" applyFont="1" applyFill="1" applyAlignment="1">
      <alignment horizontal="right"/>
    </xf>
    <xf numFmtId="3" fontId="8" fillId="38" borderId="34" xfId="79" applyNumberFormat="1" applyFont="1" applyFill="1" applyBorder="1" applyAlignment="1">
      <alignment horizontal="right"/>
    </xf>
    <xf numFmtId="3" fontId="8" fillId="38" borderId="34" xfId="82" applyNumberFormat="1" applyFont="1" applyFill="1" applyAlignment="1">
      <alignment horizontal="right"/>
    </xf>
    <xf numFmtId="0" fontId="8" fillId="36" borderId="0" xfId="0" applyNumberFormat="1" applyFont="1" applyFill="1" applyAlignment="1">
      <alignment horizontal="left"/>
    </xf>
    <xf numFmtId="0" fontId="0" fillId="36" borderId="0" xfId="0" applyFill="1"/>
    <xf numFmtId="49" fontId="9" fillId="36" borderId="34" xfId="74" applyNumberFormat="1" applyFont="1" applyFill="1" applyAlignment="1">
      <alignment horizontal="left" wrapText="1"/>
    </xf>
    <xf numFmtId="0" fontId="9" fillId="36" borderId="34" xfId="74" applyNumberFormat="1" applyFont="1" applyFill="1" applyAlignment="1">
      <alignment horizontal="left"/>
    </xf>
    <xf numFmtId="0" fontId="8" fillId="38" borderId="34" xfId="74" applyNumberFormat="1" applyFont="1" applyFill="1" applyAlignment="1">
      <alignment horizontal="left" wrapText="1"/>
    </xf>
    <xf numFmtId="49" fontId="8" fillId="36" borderId="1" xfId="78" applyNumberFormat="1" applyFont="1" applyFill="1" applyAlignment="1">
      <alignment horizontal="left"/>
    </xf>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0" fontId="8" fillId="36" borderId="1" xfId="78" applyNumberFormat="1" applyFont="1" applyFill="1" applyAlignment="1">
      <alignment horizontal="left" wrapText="1"/>
    </xf>
    <xf numFmtId="0" fontId="9" fillId="36" borderId="34" xfId="82" applyNumberFormat="1" applyFont="1" applyFill="1" applyAlignment="1">
      <alignment horizontal="left" wrapText="1"/>
    </xf>
    <xf numFmtId="0" fontId="0" fillId="36" borderId="0" xfId="0" applyFill="1"/>
    <xf numFmtId="0" fontId="8" fillId="36" borderId="34" xfId="82" applyNumberFormat="1" applyFont="1" applyFill="1" applyAlignment="1">
      <alignment horizontal="left" wrapText="1"/>
    </xf>
    <xf numFmtId="3" fontId="9" fillId="38" borderId="34" xfId="82" applyNumberFormat="1" applyFont="1" applyFill="1" applyAlignment="1">
      <alignment horizontal="right" wrapText="1"/>
    </xf>
    <xf numFmtId="3" fontId="9" fillId="38" borderId="1" xfId="78" applyNumberFormat="1" applyFont="1" applyFill="1" applyAlignment="1">
      <alignment horizontal="left" wrapText="1"/>
    </xf>
    <xf numFmtId="49" fontId="8" fillId="36" borderId="1" xfId="78" applyNumberFormat="1" applyFont="1" applyFill="1" applyAlignment="1">
      <alignment horizontal="left" wrapText="1"/>
    </xf>
    <xf numFmtId="49" fontId="8" fillId="36" borderId="1" xfId="78" applyNumberFormat="1" applyFont="1" applyFill="1" applyAlignment="1">
      <alignment horizontal="left"/>
    </xf>
    <xf numFmtId="0" fontId="8" fillId="36" borderId="0" xfId="0" applyNumberFormat="1" applyFont="1" applyFill="1"/>
    <xf numFmtId="0" fontId="0" fillId="36" borderId="0" xfId="0" applyNumberFormat="1" applyFill="1"/>
    <xf numFmtId="0" fontId="9" fillId="38" borderId="34" xfId="74" applyNumberFormat="1" applyFont="1" applyFill="1" applyAlignment="1">
      <alignment horizontal="right" wrapText="1"/>
    </xf>
    <xf numFmtId="0" fontId="0" fillId="36" borderId="0" xfId="0" applyFill="1"/>
    <xf numFmtId="0" fontId="0" fillId="36" borderId="34" xfId="82" applyNumberFormat="1" applyFont="1" applyFill="1" applyAlignment="1">
      <alignment horizontal="right"/>
    </xf>
    <xf numFmtId="0" fontId="0" fillId="36" borderId="34" xfId="79" applyNumberFormat="1" applyFont="1" applyFill="1" applyBorder="1" applyAlignment="1">
      <alignment horizontal="right"/>
    </xf>
    <xf numFmtId="0" fontId="0" fillId="36" borderId="1" xfId="78" applyNumberFormat="1" applyFont="1" applyFill="1" applyAlignment="1">
      <alignment horizontal="right"/>
    </xf>
    <xf numFmtId="0" fontId="12" fillId="36" borderId="34" xfId="74" applyNumberFormat="1" applyFont="1" applyFill="1" applyAlignment="1"/>
    <xf numFmtId="0" fontId="0" fillId="36" borderId="34" xfId="74" applyNumberFormat="1" applyFont="1" applyFill="1" applyAlignment="1">
      <alignment horizontal="right"/>
    </xf>
    <xf numFmtId="1" fontId="9" fillId="38" borderId="1" xfId="78" applyNumberFormat="1" applyFont="1" applyFill="1" applyAlignment="1">
      <alignment horizontal="right"/>
    </xf>
    <xf numFmtId="0" fontId="9" fillId="38" borderId="34" xfId="74" applyNumberFormat="1" applyFont="1" applyFill="1" applyAlignment="1">
      <alignment horizontal="right" wrapText="1"/>
    </xf>
    <xf numFmtId="0" fontId="8" fillId="36" borderId="0" xfId="0" applyNumberFormat="1" applyFont="1" applyFill="1" applyAlignment="1">
      <alignment horizontal="left"/>
    </xf>
    <xf numFmtId="49" fontId="8" fillId="36" borderId="1" xfId="78" applyNumberFormat="1" applyFont="1" applyFill="1" applyAlignment="1">
      <alignment horizontal="left"/>
    </xf>
    <xf numFmtId="0" fontId="0" fillId="36" borderId="0" xfId="0" applyFill="1"/>
    <xf numFmtId="0" fontId="8" fillId="36" borderId="1" xfId="78" applyNumberFormat="1" applyFont="1" applyFill="1" applyAlignment="1">
      <alignment horizontal="left"/>
    </xf>
    <xf numFmtId="49" fontId="9" fillId="36" borderId="34" xfId="82" applyNumberFormat="1" applyFont="1" applyFill="1" applyAlignment="1">
      <alignment horizontal="left"/>
    </xf>
    <xf numFmtId="49" fontId="8" fillId="36" borderId="34" xfId="79" applyNumberFormat="1" applyFont="1" applyFill="1" applyBorder="1" applyAlignment="1">
      <alignment horizontal="left"/>
    </xf>
    <xf numFmtId="49" fontId="9" fillId="36" borderId="0" xfId="0" applyNumberFormat="1" applyFont="1" applyFill="1" applyAlignment="1">
      <alignment horizontal="left" wrapText="1"/>
    </xf>
    <xf numFmtId="49" fontId="9" fillId="36" borderId="0" xfId="4" applyNumberFormat="1" applyFont="1" applyFill="1" applyAlignment="1">
      <alignment horizontal="left"/>
    </xf>
    <xf numFmtId="49" fontId="9" fillId="36" borderId="0" xfId="0" applyNumberFormat="1" applyFont="1" applyFill="1" applyAlignment="1">
      <alignment horizontal="left"/>
    </xf>
    <xf numFmtId="0" fontId="0" fillId="36" borderId="0" xfId="0" applyFill="1"/>
    <xf numFmtId="49" fontId="9" fillId="36" borderId="0" xfId="4" applyNumberFormat="1" applyFont="1" applyFill="1" applyBorder="1" applyAlignment="1">
      <alignment horizontal="left" wrapText="1"/>
    </xf>
    <xf numFmtId="0" fontId="9" fillId="36" borderId="0" xfId="4" applyNumberFormat="1" applyFont="1" applyFill="1" applyBorder="1" applyAlignment="1">
      <alignment horizontal="left" wrapText="1"/>
    </xf>
    <xf numFmtId="49" fontId="9" fillId="36" borderId="0" xfId="4" applyNumberFormat="1" applyFont="1" applyFill="1" applyAlignment="1">
      <alignment horizontal="left" wrapText="1"/>
    </xf>
    <xf numFmtId="1" fontId="9" fillId="36" borderId="0" xfId="0" applyNumberFormat="1" applyFont="1" applyFill="1" applyAlignment="1">
      <alignment horizontal="left" wrapText="1"/>
    </xf>
    <xf numFmtId="1" fontId="9" fillId="36" borderId="0" xfId="0" applyNumberFormat="1" applyFont="1" applyFill="1" applyAlignment="1">
      <alignment horizontal="left"/>
    </xf>
    <xf numFmtId="0" fontId="9" fillId="36" borderId="0" xfId="4" applyNumberFormat="1" applyFont="1" applyFill="1" applyAlignment="1">
      <alignment horizontal="left"/>
    </xf>
    <xf numFmtId="0" fontId="9" fillId="36" borderId="0" xfId="63" applyNumberFormat="1" applyFont="1" applyFill="1" applyAlignment="1">
      <alignment horizontal="left"/>
    </xf>
    <xf numFmtId="49" fontId="9" fillId="36" borderId="0" xfId="4" applyNumberFormat="1" applyFont="1" applyFill="1" applyAlignment="1">
      <alignment horizontal="left"/>
    </xf>
    <xf numFmtId="49" fontId="0" fillId="36" borderId="0" xfId="0" applyNumberFormat="1" applyFill="1" applyAlignment="1">
      <alignment horizontal="left"/>
    </xf>
    <xf numFmtId="49" fontId="9" fillId="0" borderId="0" xfId="0" applyNumberFormat="1" applyFont="1" applyAlignment="1">
      <alignment horizontal="left"/>
    </xf>
    <xf numFmtId="0" fontId="4" fillId="36" borderId="34" xfId="82" applyNumberFormat="1" applyFont="1" applyFill="1" applyAlignment="1"/>
    <xf numFmtId="3" fontId="9" fillId="38" borderId="34" xfId="79" applyNumberFormat="1" applyFont="1" applyFill="1" applyBorder="1" applyAlignment="1"/>
    <xf numFmtId="0" fontId="9" fillId="38" borderId="34" xfId="79" applyNumberFormat="1" applyFont="1" applyFill="1" applyBorder="1" applyAlignment="1">
      <alignment horizontal="left"/>
    </xf>
    <xf numFmtId="0" fontId="38" fillId="36" borderId="34" xfId="79" applyNumberFormat="1" applyFont="1" applyFill="1" applyBorder="1" applyAlignment="1">
      <alignment horizontal="right"/>
    </xf>
    <xf numFmtId="0" fontId="9" fillId="0" borderId="0" xfId="0" applyFont="1" applyAlignment="1">
      <alignment horizontal="left"/>
    </xf>
    <xf numFmtId="0" fontId="8" fillId="36" borderId="1" xfId="78" applyNumberFormat="1" applyFont="1" applyFill="1" applyAlignment="1">
      <alignment horizontal="left"/>
    </xf>
    <xf numFmtId="0" fontId="9" fillId="36" borderId="34" xfId="74" applyNumberFormat="1" applyFont="1" applyFill="1" applyAlignment="1">
      <alignment horizontal="right"/>
    </xf>
    <xf numFmtId="0" fontId="8" fillId="36" borderId="0" xfId="0" applyNumberFormat="1" applyFont="1" applyFill="1" applyAlignment="1">
      <alignment horizontal="left"/>
    </xf>
    <xf numFmtId="0" fontId="0" fillId="36" borderId="0" xfId="0" applyFill="1"/>
    <xf numFmtId="0" fontId="8" fillId="38" borderId="0" xfId="0" applyNumberFormat="1" applyFont="1" applyFill="1" applyAlignment="1">
      <alignment horizontal="right"/>
    </xf>
    <xf numFmtId="1" fontId="9" fillId="38" borderId="0" xfId="77" applyNumberFormat="1" applyFont="1" applyFill="1" applyAlignment="1">
      <alignment horizontal="right"/>
    </xf>
    <xf numFmtId="1" fontId="9" fillId="36" borderId="0" xfId="77" applyNumberFormat="1" applyFont="1" applyFill="1" applyAlignment="1">
      <alignment horizontal="right"/>
    </xf>
    <xf numFmtId="49" fontId="8" fillId="36" borderId="0" xfId="0" applyNumberFormat="1" applyFont="1" applyFill="1" applyAlignment="1">
      <alignment horizontal="left" wrapText="1"/>
    </xf>
    <xf numFmtId="0" fontId="8" fillId="36" borderId="0" xfId="4" applyNumberFormat="1" applyFont="1" applyFill="1" applyAlignment="1">
      <alignment horizontal="left" wrapText="1"/>
    </xf>
    <xf numFmtId="0" fontId="8" fillId="36" borderId="1" xfId="78" applyNumberFormat="1" applyFont="1" applyFill="1" applyAlignment="1">
      <alignment horizontal="left"/>
    </xf>
    <xf numFmtId="49" fontId="9" fillId="36" borderId="1" xfId="78" applyNumberFormat="1" applyFont="1" applyFill="1" applyAlignment="1">
      <alignment horizontal="left"/>
    </xf>
    <xf numFmtId="0" fontId="8" fillId="36" borderId="0" xfId="4" applyNumberFormat="1" applyFont="1" applyFill="1" applyAlignment="1">
      <alignment horizontal="left" wrapText="1"/>
    </xf>
    <xf numFmtId="0" fontId="0" fillId="36" borderId="0" xfId="0" applyFill="1"/>
    <xf numFmtId="0" fontId="0" fillId="36" borderId="0" xfId="0" applyFill="1"/>
    <xf numFmtId="49" fontId="8" fillId="36" borderId="0" xfId="0" applyNumberFormat="1" applyFont="1" applyFill="1" applyAlignment="1">
      <alignment horizontal="left"/>
    </xf>
    <xf numFmtId="0" fontId="0" fillId="36" borderId="0" xfId="0" applyNumberFormat="1" applyFill="1"/>
    <xf numFmtId="0" fontId="0" fillId="36" borderId="0" xfId="0" applyFill="1"/>
    <xf numFmtId="0" fontId="8" fillId="36" borderId="1" xfId="78" applyNumberFormat="1" applyFont="1" applyFill="1" applyAlignment="1">
      <alignment horizontal="left"/>
    </xf>
    <xf numFmtId="49" fontId="8" fillId="36" borderId="0" xfId="0" applyNumberFormat="1" applyFont="1" applyFill="1" applyAlignment="1">
      <alignment horizontal="left" wrapText="1"/>
    </xf>
    <xf numFmtId="49" fontId="8" fillId="36" borderId="34" xfId="79" applyNumberFormat="1" applyFont="1" applyFill="1" applyBorder="1" applyAlignment="1">
      <alignment horizontal="left"/>
    </xf>
    <xf numFmtId="49" fontId="9" fillId="36" borderId="34" xfId="74" applyNumberFormat="1" applyFont="1" applyFill="1" applyAlignment="1">
      <alignment horizontal="left"/>
    </xf>
    <xf numFmtId="49" fontId="9" fillId="36" borderId="34" xfId="82" applyNumberFormat="1" applyFont="1" applyFill="1" applyAlignment="1">
      <alignment horizontal="left"/>
    </xf>
    <xf numFmtId="49" fontId="9" fillId="36" borderId="1" xfId="78" applyNumberFormat="1" applyFont="1" applyFill="1" applyAlignment="1">
      <alignment horizontal="left"/>
    </xf>
    <xf numFmtId="49" fontId="8" fillId="36" borderId="1" xfId="78" applyNumberFormat="1" applyFont="1" applyFill="1" applyAlignment="1">
      <alignment horizontal="left"/>
    </xf>
    <xf numFmtId="49" fontId="9" fillId="36" borderId="1" xfId="78" applyNumberFormat="1" applyFont="1" applyFill="1" applyAlignment="1">
      <alignment horizontal="left" wrapText="1"/>
    </xf>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49" fontId="9" fillId="36" borderId="0" xfId="4" applyNumberFormat="1" applyFont="1" applyFill="1" applyAlignment="1">
      <alignment horizontal="left"/>
    </xf>
    <xf numFmtId="49" fontId="8" fillId="36" borderId="0" xfId="0" applyNumberFormat="1" applyFont="1" applyFill="1" applyAlignment="1">
      <alignment horizontal="left"/>
    </xf>
    <xf numFmtId="0" fontId="8" fillId="36" borderId="0" xfId="0" applyNumberFormat="1" applyFont="1" applyFill="1" applyAlignment="1">
      <alignment horizontal="left"/>
    </xf>
    <xf numFmtId="0" fontId="9" fillId="36" borderId="30" xfId="74" applyNumberFormat="1" applyFont="1" applyFill="1" applyBorder="1" applyAlignment="1">
      <alignment horizontal="left"/>
    </xf>
    <xf numFmtId="49" fontId="9" fillId="36" borderId="30" xfId="74" applyNumberFormat="1" applyFont="1" applyFill="1" applyBorder="1" applyAlignment="1">
      <alignment horizontal="left"/>
    </xf>
    <xf numFmtId="0" fontId="31" fillId="36" borderId="0" xfId="4" applyNumberFormat="1" applyFont="1" applyFill="1" applyAlignment="1">
      <alignment horizontal="left"/>
    </xf>
    <xf numFmtId="0" fontId="9" fillId="36" borderId="1" xfId="78" applyNumberFormat="1" applyFont="1" applyFill="1" applyAlignment="1">
      <alignment horizontal="left"/>
    </xf>
    <xf numFmtId="0" fontId="8" fillId="36" borderId="34" xfId="79" applyNumberFormat="1" applyFont="1" applyFill="1" applyBorder="1" applyAlignment="1">
      <alignment horizontal="left"/>
    </xf>
    <xf numFmtId="49" fontId="9" fillId="36" borderId="0" xfId="0" applyNumberFormat="1" applyFont="1" applyFill="1" applyAlignment="1">
      <alignment horizontal="left"/>
    </xf>
    <xf numFmtId="0" fontId="0" fillId="36" borderId="0" xfId="0" applyFill="1"/>
    <xf numFmtId="0" fontId="33" fillId="36" borderId="0" xfId="88" applyNumberFormat="1" applyFont="1" applyFill="1" applyBorder="1" applyAlignment="1"/>
    <xf numFmtId="3" fontId="9" fillId="38" borderId="34" xfId="89" applyNumberFormat="1" applyFont="1" applyFill="1" applyBorder="1" applyAlignment="1">
      <alignment horizontal="right"/>
    </xf>
    <xf numFmtId="3" fontId="8" fillId="36" borderId="34" xfId="89" applyNumberFormat="1" applyFont="1" applyFill="1" applyBorder="1" applyAlignment="1">
      <alignment horizontal="right"/>
    </xf>
    <xf numFmtId="0" fontId="8" fillId="36" borderId="0" xfId="77" applyNumberFormat="1" applyFont="1" applyFill="1" applyBorder="1" applyAlignment="1">
      <alignment horizontal="right"/>
    </xf>
    <xf numFmtId="0" fontId="9" fillId="36" borderId="0" xfId="77" applyNumberFormat="1" applyFont="1" applyFill="1" applyAlignment="1">
      <alignment horizontal="right"/>
    </xf>
    <xf numFmtId="0" fontId="9" fillId="36" borderId="0" xfId="77" applyNumberFormat="1" applyFont="1" applyFill="1" applyBorder="1" applyAlignment="1">
      <alignment horizontal="right" vertical="center"/>
    </xf>
    <xf numFmtId="49" fontId="31" fillId="36" borderId="0" xfId="71" applyNumberFormat="1" applyFont="1" applyFill="1" applyAlignment="1">
      <alignment horizontal="left"/>
    </xf>
    <xf numFmtId="49" fontId="8" fillId="36" borderId="34" xfId="79" applyNumberFormat="1" applyFont="1" applyFill="1" applyBorder="1" applyAlignment="1">
      <alignment horizontal="left"/>
    </xf>
    <xf numFmtId="0" fontId="0" fillId="36" borderId="0" xfId="0" applyFill="1"/>
    <xf numFmtId="0" fontId="54" fillId="36" borderId="34" xfId="74" applyNumberFormat="1" applyFont="1" applyFill="1" applyAlignment="1">
      <alignment horizontal="right" wrapText="1"/>
    </xf>
    <xf numFmtId="49" fontId="31" fillId="36" borderId="0" xfId="71" applyNumberFormat="1" applyFont="1" applyFill="1" applyAlignment="1">
      <alignment horizontal="left"/>
    </xf>
    <xf numFmtId="0" fontId="9" fillId="36" borderId="0" xfId="4" applyNumberFormat="1" applyFont="1" applyFill="1" applyAlignment="1">
      <alignment horizontal="left" wrapText="1"/>
    </xf>
    <xf numFmtId="49" fontId="8" fillId="36" borderId="0" xfId="71" applyNumberFormat="1" applyFont="1" applyFill="1" applyAlignment="1">
      <alignment horizontal="left"/>
    </xf>
    <xf numFmtId="0" fontId="31" fillId="36" borderId="0" xfId="4" applyNumberFormat="1" applyFont="1" applyFill="1" applyAlignment="1">
      <alignment horizontal="left"/>
    </xf>
    <xf numFmtId="0" fontId="9" fillId="36" borderId="0" xfId="4" applyNumberFormat="1" applyFont="1" applyFill="1" applyAlignment="1">
      <alignment horizontal="left"/>
    </xf>
    <xf numFmtId="0" fontId="0" fillId="36" borderId="0" xfId="0" applyFill="1"/>
    <xf numFmtId="0" fontId="8" fillId="36" borderId="0" xfId="0" applyNumberFormat="1" applyFont="1" applyFill="1"/>
    <xf numFmtId="1" fontId="9" fillId="36" borderId="0" xfId="0" applyNumberFormat="1" applyFont="1" applyFill="1" applyAlignment="1">
      <alignment horizontal="left"/>
    </xf>
    <xf numFmtId="49" fontId="8" fillId="36" borderId="1" xfId="78" applyNumberFormat="1" applyFont="1" applyFill="1" applyAlignment="1">
      <alignment horizontal="left"/>
    </xf>
    <xf numFmtId="0" fontId="0" fillId="36" borderId="0" xfId="0" applyFill="1"/>
    <xf numFmtId="2" fontId="8" fillId="36" borderId="27" xfId="78" applyNumberFormat="1" applyFont="1" applyFill="1" applyBorder="1" applyAlignment="1">
      <alignment horizontal="right"/>
    </xf>
    <xf numFmtId="49" fontId="9" fillId="36" borderId="34" xfId="74" applyNumberFormat="1" applyFont="1" applyFill="1" applyAlignment="1">
      <alignment horizontal="left"/>
    </xf>
    <xf numFmtId="49" fontId="9" fillId="36" borderId="1" xfId="78" applyNumberFormat="1" applyFont="1" applyFill="1" applyAlignment="1">
      <alignment horizontal="left"/>
    </xf>
    <xf numFmtId="49" fontId="8" fillId="36" borderId="34" xfId="79" applyNumberFormat="1" applyFont="1" applyFill="1" applyBorder="1" applyAlignment="1">
      <alignment horizontal="left"/>
    </xf>
    <xf numFmtId="49" fontId="8" fillId="36" borderId="1" xfId="78" applyNumberFormat="1" applyFont="1" applyFill="1" applyAlignment="1">
      <alignment horizontal="left"/>
    </xf>
    <xf numFmtId="0" fontId="8" fillId="36" borderId="0" xfId="0" applyNumberFormat="1" applyFont="1" applyFill="1" applyAlignment="1">
      <alignment horizontal="left"/>
    </xf>
    <xf numFmtId="0" fontId="31" fillId="36" borderId="0" xfId="4" applyNumberFormat="1" applyFont="1" applyFill="1" applyAlignment="1">
      <alignment horizontal="left"/>
    </xf>
    <xf numFmtId="49" fontId="9" fillId="36" borderId="34" xfId="74" applyNumberFormat="1" applyFont="1" applyFill="1" applyAlignment="1">
      <alignment horizontal="left"/>
    </xf>
    <xf numFmtId="49" fontId="9" fillId="36" borderId="0" xfId="77" applyNumberFormat="1" applyFont="1" applyFill="1" applyBorder="1" applyAlignment="1">
      <alignment horizontal="left"/>
    </xf>
    <xf numFmtId="0" fontId="0" fillId="36" borderId="0" xfId="0" applyFill="1"/>
    <xf numFmtId="0" fontId="8" fillId="36" borderId="0" xfId="0" applyNumberFormat="1" applyFont="1" applyFill="1" applyAlignment="1">
      <alignment horizontal="left" wrapText="1"/>
    </xf>
    <xf numFmtId="0" fontId="0" fillId="36" borderId="0" xfId="0" applyFill="1"/>
    <xf numFmtId="0" fontId="8" fillId="36" borderId="0" xfId="77" quotePrefix="1" applyNumberFormat="1" applyFont="1" applyFill="1" applyBorder="1" applyAlignment="1">
      <alignment horizontal="left" wrapText="1"/>
    </xf>
    <xf numFmtId="3" fontId="8" fillId="36" borderId="34" xfId="82" quotePrefix="1" applyNumberFormat="1" applyFont="1" applyFill="1" applyAlignment="1">
      <alignment horizontal="right"/>
    </xf>
    <xf numFmtId="3" fontId="8" fillId="36" borderId="34" xfId="79" quotePrefix="1" applyNumberFormat="1" applyFont="1" applyFill="1" applyBorder="1" applyAlignment="1">
      <alignment horizontal="right"/>
    </xf>
    <xf numFmtId="3" fontId="9" fillId="38" borderId="34" xfId="82" quotePrefix="1" applyNumberFormat="1" applyFont="1" applyFill="1" applyAlignment="1">
      <alignment horizontal="right"/>
    </xf>
    <xf numFmtId="0" fontId="8" fillId="36" borderId="1" xfId="78" applyNumberFormat="1" applyFont="1" applyFill="1" applyAlignment="1"/>
    <xf numFmtId="49" fontId="8" fillId="36" borderId="0" xfId="0" applyNumberFormat="1" applyFont="1" applyFill="1" applyAlignment="1">
      <alignment horizontal="left" wrapText="1"/>
    </xf>
    <xf numFmtId="49" fontId="8" fillId="36" borderId="34" xfId="79" applyNumberFormat="1" applyFont="1" applyFill="1" applyBorder="1" applyAlignment="1">
      <alignment horizontal="left"/>
    </xf>
    <xf numFmtId="49" fontId="8" fillId="36" borderId="1" xfId="78" applyNumberFormat="1" applyFont="1" applyFill="1" applyAlignment="1">
      <alignment horizontal="left"/>
    </xf>
    <xf numFmtId="49" fontId="8" fillId="36" borderId="0" xfId="0" applyNumberFormat="1" applyFont="1" applyFill="1" applyAlignment="1">
      <alignment horizontal="left"/>
    </xf>
    <xf numFmtId="0" fontId="0" fillId="36" borderId="0" xfId="0" applyFill="1"/>
    <xf numFmtId="3" fontId="9" fillId="36" borderId="30" xfId="79" applyNumberFormat="1" applyFont="1" applyFill="1" applyAlignment="1">
      <alignment horizontal="right"/>
    </xf>
    <xf numFmtId="3" fontId="58" fillId="36" borderId="1" xfId="78" applyNumberFormat="1" applyFont="1" applyFill="1" applyAlignment="1">
      <alignment horizontal="right"/>
    </xf>
    <xf numFmtId="3" fontId="58" fillId="36" borderId="30" xfId="79" applyNumberFormat="1" applyFont="1" applyFill="1" applyAlignment="1">
      <alignment horizontal="right"/>
    </xf>
    <xf numFmtId="3" fontId="9" fillId="36" borderId="1" xfId="78" applyNumberFormat="1" applyFont="1" applyFill="1" applyAlignment="1"/>
    <xf numFmtId="0" fontId="9" fillId="36" borderId="30" xfId="79" applyNumberFormat="1" applyFont="1" applyFill="1" applyAlignment="1"/>
    <xf numFmtId="49" fontId="9" fillId="36" borderId="1" xfId="78" applyNumberFormat="1" applyFont="1" applyFill="1" applyAlignment="1">
      <alignment horizontal="left"/>
    </xf>
    <xf numFmtId="49" fontId="9" fillId="36" borderId="34" xfId="82" applyNumberFormat="1" applyFont="1" applyFill="1" applyAlignment="1">
      <alignment horizontal="left"/>
    </xf>
    <xf numFmtId="0" fontId="0" fillId="36" borderId="0" xfId="0" applyFill="1"/>
    <xf numFmtId="0" fontId="0" fillId="36" borderId="0" xfId="0" applyNumberFormat="1" applyFill="1"/>
    <xf numFmtId="49" fontId="8" fillId="36" borderId="1" xfId="78" applyNumberFormat="1" applyFont="1" applyFill="1" applyAlignment="1">
      <alignment horizontal="left"/>
    </xf>
    <xf numFmtId="0" fontId="0" fillId="36" borderId="0" xfId="0" applyFill="1"/>
    <xf numFmtId="3" fontId="58" fillId="36" borderId="34" xfId="82" applyNumberFormat="1" applyFont="1" applyFill="1" applyAlignment="1">
      <alignment horizontal="right"/>
    </xf>
    <xf numFmtId="0" fontId="0" fillId="36" borderId="0" xfId="0" applyFill="1"/>
    <xf numFmtId="1" fontId="0" fillId="36" borderId="0" xfId="0" applyNumberFormat="1" applyFill="1"/>
    <xf numFmtId="49" fontId="8" fillId="36" borderId="0" xfId="0" applyNumberFormat="1" applyFont="1" applyFill="1" applyAlignment="1">
      <alignment horizontal="left" wrapText="1"/>
    </xf>
    <xf numFmtId="0" fontId="0" fillId="36" borderId="0" xfId="0" applyFill="1"/>
    <xf numFmtId="0" fontId="8" fillId="36" borderId="0" xfId="0" applyNumberFormat="1" applyFont="1" applyFill="1" applyAlignment="1">
      <alignment horizontal="left"/>
    </xf>
    <xf numFmtId="0" fontId="0" fillId="36" borderId="0" xfId="0" applyFill="1"/>
    <xf numFmtId="0" fontId="8" fillId="36" borderId="1" xfId="78" applyNumberFormat="1" applyFont="1" applyFill="1" applyAlignment="1"/>
    <xf numFmtId="49" fontId="8" fillId="36" borderId="0" xfId="0" applyNumberFormat="1" applyFont="1" applyFill="1" applyAlignment="1">
      <alignment horizontal="left"/>
    </xf>
    <xf numFmtId="0" fontId="0" fillId="36" borderId="0" xfId="0" applyFill="1"/>
    <xf numFmtId="0" fontId="9" fillId="38" borderId="1" xfId="78" applyNumberFormat="1" applyFont="1" applyFill="1" applyAlignment="1"/>
    <xf numFmtId="0" fontId="8" fillId="36" borderId="1" xfId="78" applyNumberFormat="1" applyFont="1" applyFill="1" applyAlignment="1">
      <alignment horizontal="left"/>
    </xf>
    <xf numFmtId="0" fontId="0" fillId="36" borderId="0" xfId="0" applyFill="1"/>
    <xf numFmtId="0" fontId="0" fillId="36" borderId="0" xfId="0" applyFill="1"/>
    <xf numFmtId="3" fontId="0" fillId="36" borderId="0" xfId="0" applyNumberFormat="1" applyFill="1"/>
    <xf numFmtId="0" fontId="0" fillId="36" borderId="0" xfId="0" applyFill="1"/>
    <xf numFmtId="49" fontId="8" fillId="36" borderId="1" xfId="78" applyNumberFormat="1" applyFont="1" applyFill="1" applyAlignment="1">
      <alignment horizontal="left"/>
    </xf>
    <xf numFmtId="0" fontId="0" fillId="36" borderId="0" xfId="0" applyFill="1"/>
    <xf numFmtId="0" fontId="8" fillId="36" borderId="1" xfId="78" applyNumberFormat="1" applyFont="1" applyFill="1" applyAlignment="1">
      <alignment horizontal="left" wrapText="1"/>
    </xf>
    <xf numFmtId="0" fontId="0" fillId="36" borderId="0" xfId="0" applyFill="1"/>
    <xf numFmtId="49" fontId="8" fillId="36" borderId="1" xfId="78" applyNumberFormat="1" applyFont="1" applyFill="1" applyAlignment="1">
      <alignment horizontal="left"/>
    </xf>
    <xf numFmtId="0" fontId="8" fillId="36" borderId="0" xfId="0" applyNumberFormat="1" applyFont="1" applyFill="1" applyAlignment="1">
      <alignment horizontal="left"/>
    </xf>
    <xf numFmtId="0" fontId="0" fillId="36" borderId="0" xfId="0" applyFill="1"/>
    <xf numFmtId="49" fontId="8" fillId="36" borderId="1" xfId="78" applyNumberFormat="1" applyFont="1" applyFill="1" applyAlignment="1">
      <alignment horizontal="left" indent="1"/>
    </xf>
    <xf numFmtId="49" fontId="8" fillId="36" borderId="34" xfId="79" applyNumberFormat="1" applyFont="1" applyFill="1" applyBorder="1" applyAlignment="1"/>
    <xf numFmtId="49" fontId="9" fillId="36" borderId="1" xfId="78" applyNumberFormat="1" applyFont="1" applyFill="1" applyAlignment="1"/>
    <xf numFmtId="49" fontId="8" fillId="36" borderId="1" xfId="78" applyNumberFormat="1" applyFont="1" applyFill="1" applyAlignment="1">
      <alignment horizontal="left" wrapText="1"/>
    </xf>
    <xf numFmtId="0" fontId="0" fillId="36" borderId="0" xfId="0" applyFill="1"/>
    <xf numFmtId="49" fontId="8" fillId="36" borderId="34" xfId="79" applyNumberFormat="1" applyFont="1" applyFill="1" applyBorder="1" applyAlignment="1">
      <alignment horizontal="left"/>
    </xf>
    <xf numFmtId="0" fontId="0" fillId="36" borderId="0" xfId="0" applyFill="1"/>
    <xf numFmtId="0" fontId="48" fillId="36" borderId="0" xfId="0" applyFont="1" applyFill="1"/>
    <xf numFmtId="0" fontId="34" fillId="36" borderId="0" xfId="0" applyFont="1" applyFill="1"/>
    <xf numFmtId="0" fontId="8" fillId="36" borderId="0" xfId="3" applyFont="1" applyFill="1"/>
    <xf numFmtId="0" fontId="34" fillId="36" borderId="0" xfId="3" applyNumberFormat="1" applyFont="1" applyFill="1"/>
    <xf numFmtId="0" fontId="8" fillId="36" borderId="0" xfId="3" applyFont="1" applyFill="1" applyBorder="1"/>
    <xf numFmtId="0" fontId="31" fillId="36" borderId="0" xfId="0" applyFont="1" applyFill="1"/>
    <xf numFmtId="3" fontId="58" fillId="38" borderId="34" xfId="79" applyNumberFormat="1" applyFont="1" applyFill="1" applyBorder="1" applyAlignment="1">
      <alignment horizontal="right"/>
    </xf>
    <xf numFmtId="3" fontId="57" fillId="36" borderId="34" xfId="79" applyNumberFormat="1" applyFont="1" applyFill="1" applyBorder="1" applyAlignment="1">
      <alignment horizontal="right"/>
    </xf>
    <xf numFmtId="2" fontId="8" fillId="36" borderId="34" xfId="79" applyNumberFormat="1" applyFont="1" applyFill="1" applyBorder="1" applyAlignment="1">
      <alignment horizontal="right"/>
    </xf>
    <xf numFmtId="0" fontId="0" fillId="36" borderId="0" xfId="0" applyFill="1"/>
    <xf numFmtId="0" fontId="8" fillId="36" borderId="1" xfId="78" applyNumberFormat="1" applyFont="1" applyFill="1" applyAlignment="1">
      <alignment horizontal="left"/>
    </xf>
    <xf numFmtId="0" fontId="8" fillId="36" borderId="1" xfId="78" applyNumberFormat="1" applyFont="1" applyFill="1" applyBorder="1" applyAlignment="1">
      <alignment horizontal="left"/>
    </xf>
    <xf numFmtId="0" fontId="8" fillId="36" borderId="34" xfId="79" applyNumberFormat="1" applyFont="1" applyFill="1" applyBorder="1" applyAlignment="1">
      <alignment horizontal="left"/>
    </xf>
    <xf numFmtId="49" fontId="8" fillId="36" borderId="1" xfId="78" applyNumberFormat="1" applyFont="1" applyFill="1" applyAlignment="1">
      <alignment horizontal="left" indent="2"/>
    </xf>
    <xf numFmtId="0" fontId="8" fillId="36" borderId="1" xfId="78" applyNumberFormat="1" applyFont="1" applyFill="1" applyAlignment="1">
      <alignment horizontal="left" wrapText="1" indent="2"/>
    </xf>
    <xf numFmtId="0" fontId="8" fillId="36" borderId="34" xfId="79" applyNumberFormat="1" applyFont="1" applyFill="1" applyBorder="1" applyAlignment="1">
      <alignment horizontal="left" wrapText="1" indent="2"/>
    </xf>
    <xf numFmtId="49" fontId="8" fillId="36" borderId="1" xfId="78" applyNumberFormat="1" applyFont="1" applyFill="1" applyAlignment="1">
      <alignment horizontal="left" wrapText="1" indent="2"/>
    </xf>
    <xf numFmtId="3" fontId="56" fillId="36" borderId="32" xfId="78" applyNumberFormat="1" applyFont="1" applyFill="1" applyBorder="1" applyAlignment="1" applyProtection="1">
      <alignment horizontal="right"/>
    </xf>
    <xf numFmtId="0" fontId="8" fillId="36" borderId="1" xfId="78" applyNumberFormat="1" applyFont="1" applyFill="1" applyAlignment="1">
      <alignment horizontal="left"/>
    </xf>
    <xf numFmtId="0" fontId="11" fillId="36" borderId="1" xfId="78" applyFont="1" applyFill="1" applyAlignment="1" applyProtection="1">
      <alignment horizontal="right"/>
    </xf>
    <xf numFmtId="0" fontId="11" fillId="36" borderId="34" xfId="79" applyFont="1" applyFill="1" applyBorder="1" applyAlignment="1" applyProtection="1">
      <alignment horizontal="right"/>
    </xf>
    <xf numFmtId="0" fontId="11" fillId="36" borderId="34" xfId="79" applyNumberFormat="1" applyFont="1" applyFill="1" applyBorder="1" applyAlignment="1" applyProtection="1">
      <alignment horizontal="right"/>
    </xf>
    <xf numFmtId="3" fontId="75" fillId="36" borderId="34" xfId="79" applyNumberFormat="1" applyFont="1" applyFill="1" applyBorder="1" applyAlignment="1">
      <alignment horizontal="right"/>
    </xf>
    <xf numFmtId="3" fontId="56" fillId="36" borderId="34" xfId="79" applyNumberFormat="1" applyFont="1" applyFill="1" applyBorder="1" applyAlignment="1" applyProtection="1">
      <alignment horizontal="right"/>
    </xf>
    <xf numFmtId="0" fontId="0" fillId="36" borderId="0" xfId="90" applyNumberFormat="1" applyFont="1" applyFill="1" applyAlignment="1"/>
    <xf numFmtId="0" fontId="56" fillId="36" borderId="34" xfId="79" applyNumberFormat="1" applyFont="1" applyFill="1" applyBorder="1" applyAlignment="1" applyProtection="1">
      <alignment horizontal="right"/>
    </xf>
    <xf numFmtId="0" fontId="0" fillId="36" borderId="0" xfId="0" applyFill="1"/>
    <xf numFmtId="3" fontId="56" fillId="36" borderId="34" xfId="82" applyNumberFormat="1" applyFont="1" applyFill="1" applyAlignment="1" applyProtection="1">
      <alignment horizontal="right"/>
    </xf>
    <xf numFmtId="0" fontId="0" fillId="36" borderId="0" xfId="0" applyNumberFormat="1" applyFill="1"/>
    <xf numFmtId="0" fontId="8" fillId="36" borderId="27" xfId="78" applyNumberFormat="1" applyFont="1" applyFill="1" applyBorder="1" applyAlignment="1">
      <alignment horizontal="left" wrapText="1" indent="2"/>
    </xf>
    <xf numFmtId="0" fontId="8" fillId="36" borderId="27" xfId="78" applyNumberFormat="1" applyFont="1" applyFill="1" applyBorder="1" applyAlignment="1">
      <alignment horizontal="left" indent="2"/>
    </xf>
    <xf numFmtId="0" fontId="8" fillId="36" borderId="34" xfId="79" applyNumberFormat="1" applyFont="1" applyFill="1" applyBorder="1" applyAlignment="1">
      <alignment horizontal="left" indent="2"/>
    </xf>
    <xf numFmtId="0" fontId="9" fillId="36" borderId="1" xfId="78" applyNumberFormat="1" applyFont="1" applyFill="1" applyAlignment="1">
      <alignment horizontal="left"/>
    </xf>
    <xf numFmtId="0" fontId="8" fillId="36" borderId="34" xfId="89" applyNumberFormat="1" applyFont="1" applyFill="1" applyBorder="1" applyAlignment="1"/>
    <xf numFmtId="0" fontId="9" fillId="36" borderId="34" xfId="82" applyNumberFormat="1" applyFont="1" applyFill="1" applyAlignment="1">
      <alignment horizontal="left"/>
    </xf>
    <xf numFmtId="0" fontId="9" fillId="36" borderId="34" xfId="74" applyNumberFormat="1" applyFont="1" applyFill="1" applyAlignment="1">
      <alignment horizontal="left"/>
    </xf>
    <xf numFmtId="0" fontId="8" fillId="36" borderId="1" xfId="78" applyNumberFormat="1" applyFont="1" applyFill="1" applyAlignment="1"/>
    <xf numFmtId="0" fontId="8" fillId="36" borderId="1" xfId="78" applyNumberFormat="1" applyFont="1" applyFill="1" applyAlignment="1">
      <alignment horizontal="left"/>
    </xf>
    <xf numFmtId="49" fontId="8" fillId="36" borderId="34" xfId="79" applyNumberFormat="1" applyFont="1" applyFill="1" applyBorder="1" applyAlignment="1">
      <alignment horizontal="left" wrapText="1"/>
    </xf>
    <xf numFmtId="49" fontId="8" fillId="36" borderId="2" xfId="79" applyNumberFormat="1" applyFont="1" applyFill="1" applyBorder="1" applyAlignment="1">
      <alignment horizontal="left" wrapText="1"/>
    </xf>
    <xf numFmtId="49" fontId="9" fillId="36" borderId="27" xfId="78" applyNumberFormat="1" applyFont="1" applyFill="1" applyBorder="1" applyAlignment="1">
      <alignment horizontal="left" wrapText="1"/>
    </xf>
    <xf numFmtId="49" fontId="8" fillId="36" borderId="27" xfId="78" applyNumberFormat="1" applyFont="1" applyFill="1" applyBorder="1" applyAlignment="1">
      <alignment horizontal="left" wrapText="1"/>
    </xf>
    <xf numFmtId="49" fontId="8" fillId="36" borderId="29" xfId="78" applyNumberFormat="1" applyFont="1" applyFill="1" applyBorder="1" applyAlignment="1">
      <alignment horizontal="left" wrapText="1"/>
    </xf>
    <xf numFmtId="0" fontId="8" fillId="36" borderId="16" xfId="79" applyNumberFormat="1" applyFont="1" applyFill="1" applyBorder="1" applyAlignment="1">
      <alignment horizontal="left" indent="2"/>
    </xf>
    <xf numFmtId="49" fontId="8" fillId="36" borderId="27" xfId="78" applyNumberFormat="1" applyFont="1" applyFill="1" applyBorder="1" applyAlignment="1">
      <alignment horizontal="left" indent="2"/>
    </xf>
    <xf numFmtId="49" fontId="8" fillId="36" borderId="1" xfId="78" applyNumberFormat="1" applyFont="1" applyFill="1" applyAlignment="1">
      <alignment horizontal="left" wrapText="1"/>
    </xf>
    <xf numFmtId="49" fontId="9" fillId="36" borderId="32" xfId="78" applyNumberFormat="1" applyFont="1" applyFill="1" applyBorder="1" applyAlignment="1">
      <alignment horizontal="left" wrapText="1"/>
    </xf>
    <xf numFmtId="49" fontId="8" fillId="36" borderId="27" xfId="78" applyNumberFormat="1" applyFont="1" applyFill="1" applyBorder="1" applyAlignment="1">
      <alignment horizontal="left"/>
    </xf>
    <xf numFmtId="0" fontId="8" fillId="36" borderId="0" xfId="2" applyNumberFormat="1" applyFont="1" applyFill="1" applyAlignment="1">
      <alignment wrapText="1"/>
    </xf>
    <xf numFmtId="0" fontId="8" fillId="36" borderId="0" xfId="0" applyNumberFormat="1" applyFont="1" applyFill="1" applyAlignment="1">
      <alignment wrapText="1"/>
    </xf>
    <xf numFmtId="49" fontId="8" fillId="36" borderId="0" xfId="2" applyNumberFormat="1" applyFont="1" applyFill="1" applyAlignment="1">
      <alignment wrapText="1"/>
    </xf>
    <xf numFmtId="49" fontId="8" fillId="36" borderId="0" xfId="0" applyNumberFormat="1" applyFont="1" applyFill="1" applyAlignment="1">
      <alignment wrapText="1"/>
    </xf>
    <xf numFmtId="49" fontId="8" fillId="36" borderId="16" xfId="79" applyNumberFormat="1" applyFont="1" applyFill="1" applyBorder="1" applyAlignment="1">
      <alignment horizontal="left" wrapText="1"/>
    </xf>
    <xf numFmtId="49" fontId="8" fillId="36" borderId="32" xfId="78" applyNumberFormat="1" applyFont="1" applyFill="1" applyBorder="1" applyAlignment="1">
      <alignment horizontal="left" wrapText="1"/>
    </xf>
    <xf numFmtId="49" fontId="9" fillId="36" borderId="1" xfId="78" applyNumberFormat="1" applyFont="1" applyFill="1" applyBorder="1" applyAlignment="1">
      <alignment horizontal="left" wrapText="1"/>
    </xf>
    <xf numFmtId="49" fontId="8" fillId="36" borderId="1" xfId="78" applyNumberFormat="1" applyFont="1" applyFill="1" applyBorder="1" applyAlignment="1">
      <alignment horizontal="left" wrapText="1"/>
    </xf>
    <xf numFmtId="49" fontId="31" fillId="36" borderId="0" xfId="71" applyNumberFormat="1" applyFont="1" applyFill="1" applyBorder="1" applyAlignment="1">
      <alignment horizontal="left" vertical="top"/>
    </xf>
    <xf numFmtId="49" fontId="8" fillId="36" borderId="0" xfId="71" applyNumberFormat="1" applyFont="1" applyFill="1" applyAlignment="1">
      <alignment horizontal="left" vertical="top"/>
    </xf>
    <xf numFmtId="49" fontId="9" fillId="36" borderId="34" xfId="74" applyNumberFormat="1" applyFont="1" applyFill="1" applyBorder="1" applyAlignment="1">
      <alignment horizontal="left" wrapText="1"/>
    </xf>
    <xf numFmtId="49" fontId="8" fillId="36" borderId="34" xfId="74" applyNumberFormat="1" applyFont="1" applyFill="1" applyBorder="1" applyAlignment="1">
      <alignment horizontal="left" wrapText="1"/>
    </xf>
    <xf numFmtId="0" fontId="8" fillId="36" borderId="0" xfId="0" applyFont="1" applyFill="1" applyAlignment="1">
      <alignment horizontal="left"/>
    </xf>
    <xf numFmtId="49" fontId="8" fillId="36" borderId="16" xfId="79" applyNumberFormat="1" applyFont="1" applyFill="1" applyBorder="1" applyAlignment="1">
      <alignment horizontal="left" indent="2"/>
    </xf>
    <xf numFmtId="49" fontId="8" fillId="36" borderId="16" xfId="79" applyNumberFormat="1" applyFont="1" applyFill="1" applyBorder="1" applyAlignment="1">
      <alignment horizontal="left" wrapText="1" indent="2"/>
    </xf>
    <xf numFmtId="49" fontId="9" fillId="36" borderId="1" xfId="78" applyNumberFormat="1" applyFont="1" applyFill="1" applyAlignment="1">
      <alignment horizontal="left" wrapText="1"/>
    </xf>
    <xf numFmtId="49" fontId="31" fillId="36" borderId="0" xfId="71" applyNumberFormat="1" applyFont="1" applyFill="1" applyAlignment="1">
      <alignment horizontal="left"/>
    </xf>
    <xf numFmtId="49" fontId="9" fillId="36" borderId="34" xfId="74" applyNumberFormat="1" applyFont="1" applyFill="1" applyAlignment="1">
      <alignment horizontal="left"/>
    </xf>
    <xf numFmtId="49" fontId="9" fillId="36" borderId="1" xfId="78" applyNumberFormat="1" applyFont="1" applyFill="1" applyAlignment="1">
      <alignment horizontal="left"/>
    </xf>
    <xf numFmtId="0" fontId="8" fillId="36" borderId="16" xfId="79" applyFont="1" applyFill="1" applyBorder="1" applyAlignment="1">
      <alignment horizontal="left" indent="2"/>
    </xf>
    <xf numFmtId="49" fontId="8" fillId="36" borderId="0" xfId="0" applyNumberFormat="1" applyFont="1" applyFill="1" applyAlignment="1">
      <alignment horizontal="left" wrapText="1"/>
    </xf>
    <xf numFmtId="49" fontId="8" fillId="36" borderId="0" xfId="3" applyNumberFormat="1" applyFont="1" applyFill="1" applyAlignment="1">
      <alignment horizontal="left" wrapText="1"/>
    </xf>
    <xf numFmtId="49" fontId="8" fillId="36" borderId="0" xfId="0" applyNumberFormat="1" applyFont="1" applyFill="1" applyBorder="1" applyAlignment="1">
      <alignment horizontal="left" wrapText="1"/>
    </xf>
    <xf numFmtId="49" fontId="31" fillId="36" borderId="0" xfId="71" applyNumberFormat="1" applyFont="1" applyFill="1" applyBorder="1" applyAlignment="1">
      <alignment horizontal="left"/>
    </xf>
    <xf numFmtId="49" fontId="8" fillId="36" borderId="0" xfId="75" applyNumberFormat="1" applyFont="1" applyFill="1" applyAlignment="1">
      <alignment horizontal="right" vertical="center"/>
    </xf>
    <xf numFmtId="49" fontId="8" fillId="36" borderId="26" xfId="78" applyNumberFormat="1" applyFont="1" applyFill="1" applyBorder="1" applyAlignment="1">
      <alignment horizontal="left"/>
    </xf>
    <xf numFmtId="49" fontId="8" fillId="36" borderId="0" xfId="78" applyNumberFormat="1" applyFont="1" applyFill="1" applyBorder="1" applyAlignment="1">
      <alignment horizontal="left" wrapText="1"/>
    </xf>
    <xf numFmtId="0" fontId="8" fillId="36" borderId="27" xfId="78" applyNumberFormat="1" applyFont="1" applyFill="1" applyBorder="1" applyAlignment="1">
      <alignment wrapText="1"/>
    </xf>
    <xf numFmtId="0" fontId="8" fillId="36" borderId="26" xfId="78" applyFont="1" applyFill="1" applyBorder="1" applyAlignment="1"/>
    <xf numFmtId="49" fontId="9" fillId="36" borderId="26" xfId="78" applyNumberFormat="1" applyFont="1" applyFill="1" applyBorder="1" applyAlignment="1">
      <alignment horizontal="left"/>
    </xf>
    <xf numFmtId="0" fontId="8" fillId="36" borderId="27" xfId="78" applyFont="1" applyFill="1" applyBorder="1" applyAlignment="1">
      <alignment horizontal="center"/>
    </xf>
    <xf numFmtId="0" fontId="8" fillId="36" borderId="27" xfId="78" applyNumberFormat="1" applyFont="1" applyFill="1" applyBorder="1" applyAlignment="1">
      <alignment horizontal="left"/>
    </xf>
    <xf numFmtId="49" fontId="8" fillId="36" borderId="26" xfId="78" applyNumberFormat="1" applyFont="1" applyFill="1" applyBorder="1" applyAlignment="1">
      <alignment horizontal="left" wrapText="1"/>
    </xf>
    <xf numFmtId="49" fontId="8" fillId="36" borderId="1" xfId="78" applyNumberFormat="1" applyFont="1" applyFill="1" applyAlignment="1">
      <alignment horizontal="left"/>
    </xf>
    <xf numFmtId="0" fontId="9" fillId="36" borderId="34" xfId="74" applyNumberFormat="1" applyFont="1" applyFill="1" applyAlignment="1">
      <alignment horizontal="right"/>
    </xf>
    <xf numFmtId="0" fontId="8" fillId="36" borderId="0" xfId="78" applyNumberFormat="1" applyFont="1" applyFill="1" applyBorder="1" applyAlignment="1">
      <alignment horizontal="left"/>
    </xf>
    <xf numFmtId="0" fontId="8" fillId="36" borderId="32" xfId="78" applyFont="1" applyFill="1" applyBorder="1" applyAlignment="1"/>
    <xf numFmtId="0" fontId="8" fillId="36" borderId="27" xfId="78" applyFont="1" applyFill="1" applyBorder="1" applyAlignment="1"/>
    <xf numFmtId="49" fontId="8" fillId="36" borderId="34" xfId="79" applyNumberFormat="1" applyFont="1" applyFill="1" applyBorder="1" applyAlignment="1">
      <alignment horizontal="left"/>
    </xf>
    <xf numFmtId="0" fontId="8" fillId="36" borderId="1" xfId="78" applyFont="1" applyFill="1" applyAlignment="1"/>
    <xf numFmtId="49" fontId="9" fillId="36" borderId="27" xfId="78" applyNumberFormat="1" applyFont="1" applyFill="1" applyBorder="1" applyAlignment="1">
      <alignment horizontal="left"/>
    </xf>
    <xf numFmtId="49" fontId="9" fillId="36" borderId="34" xfId="82" applyNumberFormat="1" applyFont="1" applyFill="1" applyAlignment="1">
      <alignment horizontal="left"/>
    </xf>
    <xf numFmtId="0" fontId="8" fillId="36" borderId="27" xfId="78" applyNumberFormat="1" applyFont="1" applyFill="1" applyBorder="1" applyAlignment="1">
      <alignment horizontal="left" wrapText="1"/>
    </xf>
    <xf numFmtId="49" fontId="9" fillId="36" borderId="29" xfId="78" applyNumberFormat="1" applyFont="1" applyFill="1" applyBorder="1" applyAlignment="1">
      <alignment horizontal="left" wrapText="1"/>
    </xf>
    <xf numFmtId="49" fontId="9" fillId="36" borderId="2" xfId="74" applyNumberFormat="1" applyFont="1" applyFill="1" applyBorder="1" applyAlignment="1">
      <alignment horizontal="left"/>
    </xf>
    <xf numFmtId="49" fontId="8" fillId="36" borderId="27" xfId="78" applyNumberFormat="1" applyFont="1" applyFill="1" applyBorder="1" applyAlignment="1">
      <alignment horizontal="left" wrapText="1" indent="2"/>
    </xf>
    <xf numFmtId="49" fontId="8" fillId="36" borderId="0" xfId="3" applyNumberFormat="1" applyFont="1" applyFill="1" applyAlignment="1">
      <alignment horizontal="left"/>
    </xf>
    <xf numFmtId="49" fontId="31" fillId="36" borderId="0" xfId="71" applyNumberFormat="1" applyFill="1" applyBorder="1" applyAlignment="1">
      <alignment horizontal="left"/>
    </xf>
    <xf numFmtId="0" fontId="9" fillId="36" borderId="34" xfId="74" applyNumberFormat="1" applyFont="1" applyFill="1" applyBorder="1" applyAlignment="1">
      <alignment horizontal="right"/>
    </xf>
    <xf numFmtId="49" fontId="9" fillId="36" borderId="34" xfId="82" applyNumberFormat="1" applyFont="1" applyFill="1" applyAlignment="1">
      <alignment horizontal="left" wrapText="1"/>
    </xf>
    <xf numFmtId="49" fontId="9" fillId="36" borderId="31" xfId="78" applyNumberFormat="1" applyFont="1" applyFill="1" applyBorder="1" applyAlignment="1">
      <alignment horizontal="left" wrapText="1"/>
    </xf>
    <xf numFmtId="49" fontId="8" fillId="36" borderId="30" xfId="79" applyNumberFormat="1" applyFont="1" applyFill="1" applyBorder="1" applyAlignment="1">
      <alignment horizontal="left" wrapText="1"/>
    </xf>
    <xf numFmtId="49" fontId="54" fillId="36" borderId="34" xfId="74" applyNumberFormat="1" applyFont="1" applyFill="1" applyAlignment="1">
      <alignment horizontal="right" wrapText="1"/>
    </xf>
    <xf numFmtId="49" fontId="55" fillId="36" borderId="34" xfId="74" applyNumberFormat="1" applyFont="1" applyFill="1" applyAlignment="1">
      <alignment horizontal="right" wrapText="1"/>
    </xf>
    <xf numFmtId="49" fontId="9" fillId="36" borderId="34" xfId="74" applyNumberFormat="1" applyFont="1" applyFill="1" applyAlignment="1">
      <alignment horizontal="left" wrapText="1"/>
    </xf>
    <xf numFmtId="49" fontId="8" fillId="36" borderId="31" xfId="78" applyNumberFormat="1" applyFont="1" applyFill="1" applyBorder="1" applyAlignment="1">
      <alignment horizontal="left" wrapText="1"/>
    </xf>
    <xf numFmtId="49" fontId="54" fillId="38" borderId="34" xfId="74" applyNumberFormat="1" applyFont="1" applyFill="1" applyAlignment="1">
      <alignment horizontal="right" wrapText="1"/>
    </xf>
    <xf numFmtId="49" fontId="55" fillId="38" borderId="34" xfId="74" applyNumberFormat="1" applyFont="1" applyFill="1" applyAlignment="1">
      <alignment horizontal="right" wrapText="1"/>
    </xf>
    <xf numFmtId="49" fontId="8" fillId="36" borderId="0" xfId="4" applyNumberFormat="1" applyFont="1" applyFill="1" applyBorder="1" applyAlignment="1">
      <alignment horizontal="left" wrapText="1"/>
    </xf>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49" fontId="9" fillId="36" borderId="0" xfId="4" applyNumberFormat="1" applyFont="1" applyFill="1" applyAlignment="1">
      <alignment horizontal="left"/>
    </xf>
    <xf numFmtId="49" fontId="8" fillId="36" borderId="0" xfId="0" applyNumberFormat="1" applyFont="1" applyFill="1" applyAlignment="1">
      <alignment horizontal="left"/>
    </xf>
    <xf numFmtId="0" fontId="8" fillId="36" borderId="1" xfId="78" applyNumberFormat="1" applyFont="1" applyFill="1" applyAlignment="1">
      <alignment horizontal="left" wrapText="1"/>
    </xf>
    <xf numFmtId="0" fontId="9" fillId="36" borderId="0" xfId="4" applyNumberFormat="1" applyFont="1" applyFill="1" applyAlignment="1">
      <alignment horizontal="left" wrapText="1"/>
    </xf>
    <xf numFmtId="0" fontId="8" fillId="36" borderId="31" xfId="78" applyNumberFormat="1" applyFont="1" applyFill="1" applyBorder="1" applyAlignment="1">
      <alignment horizontal="left" wrapText="1"/>
    </xf>
    <xf numFmtId="49" fontId="9" fillId="36" borderId="0" xfId="0" applyNumberFormat="1" applyFont="1" applyFill="1" applyAlignment="1">
      <alignment horizontal="left" wrapText="1"/>
    </xf>
    <xf numFmtId="0" fontId="8" fillId="36" borderId="0" xfId="0" applyNumberFormat="1" applyFont="1" applyFill="1" applyAlignment="1">
      <alignment horizontal="left"/>
    </xf>
    <xf numFmtId="49" fontId="9" fillId="36" borderId="0" xfId="4" applyNumberFormat="1" applyFont="1" applyFill="1" applyBorder="1" applyAlignment="1">
      <alignment horizontal="left"/>
    </xf>
    <xf numFmtId="0" fontId="9" fillId="36" borderId="34" xfId="74" applyNumberFormat="1" applyFont="1" applyFill="1" applyAlignment="1"/>
    <xf numFmtId="49" fontId="8" fillId="36" borderId="0" xfId="4" applyNumberFormat="1" applyFont="1" applyFill="1" applyAlignment="1">
      <alignment horizontal="left" wrapText="1"/>
    </xf>
    <xf numFmtId="0" fontId="0" fillId="36" borderId="0" xfId="0" applyFill="1"/>
    <xf numFmtId="49" fontId="12" fillId="36" borderId="0" xfId="0" applyNumberFormat="1" applyFont="1" applyFill="1" applyBorder="1" applyAlignment="1">
      <alignment horizontal="left" wrapText="1"/>
    </xf>
    <xf numFmtId="49" fontId="0" fillId="36" borderId="0" xfId="0" applyNumberFormat="1" applyFill="1" applyBorder="1" applyAlignment="1">
      <alignment horizontal="left" wrapText="1"/>
    </xf>
    <xf numFmtId="49" fontId="9" fillId="36" borderId="0" xfId="0" applyNumberFormat="1" applyFont="1" applyFill="1"/>
    <xf numFmtId="49" fontId="8" fillId="36" borderId="1" xfId="78" applyNumberFormat="1" applyFont="1" applyFill="1" applyBorder="1" applyAlignment="1">
      <alignment horizontal="left"/>
    </xf>
    <xf numFmtId="49" fontId="8" fillId="36" borderId="0" xfId="77" quotePrefix="1" applyNumberFormat="1" applyFont="1" applyFill="1" applyBorder="1" applyAlignment="1">
      <alignment horizontal="left" wrapText="1"/>
    </xf>
    <xf numFmtId="49" fontId="8" fillId="36" borderId="0" xfId="71" applyNumberFormat="1" applyFont="1" applyFill="1" applyAlignment="1">
      <alignment horizontal="left"/>
    </xf>
    <xf numFmtId="49" fontId="8" fillId="36" borderId="0" xfId="4" applyNumberFormat="1" applyFont="1" applyFill="1" applyAlignment="1">
      <alignment horizontal="left"/>
    </xf>
    <xf numFmtId="0" fontId="0" fillId="36" borderId="0" xfId="0" applyFill="1" applyAlignment="1">
      <alignment horizontal="left"/>
    </xf>
    <xf numFmtId="49" fontId="8" fillId="36" borderId="0" xfId="71" applyNumberFormat="1" applyFont="1" applyFill="1" applyAlignment="1"/>
    <xf numFmtId="0" fontId="8" fillId="36" borderId="1" xfId="78" applyNumberFormat="1" applyFont="1" applyFill="1" applyBorder="1" applyAlignment="1">
      <alignment horizontal="left" wrapText="1"/>
    </xf>
    <xf numFmtId="0" fontId="8" fillId="36" borderId="16" xfId="79" applyNumberFormat="1" applyFont="1" applyFill="1" applyBorder="1" applyAlignment="1">
      <alignment horizontal="left" wrapText="1"/>
    </xf>
    <xf numFmtId="0" fontId="9" fillId="36" borderId="34" xfId="82" applyNumberFormat="1" applyFont="1" applyFill="1" applyAlignment="1">
      <alignment horizontal="left" wrapText="1"/>
    </xf>
    <xf numFmtId="0" fontId="9" fillId="36" borderId="30" xfId="74" applyNumberFormat="1" applyFont="1" applyFill="1" applyBorder="1" applyAlignment="1">
      <alignment horizontal="left" wrapText="1"/>
    </xf>
    <xf numFmtId="0" fontId="8" fillId="36" borderId="1" xfId="78" applyNumberFormat="1" applyFont="1" applyFill="1" applyBorder="1" applyAlignment="1">
      <alignment horizontal="left"/>
    </xf>
    <xf numFmtId="0" fontId="9" fillId="36" borderId="0" xfId="0" applyNumberFormat="1" applyFont="1" applyFill="1" applyAlignment="1">
      <alignment horizontal="left"/>
    </xf>
    <xf numFmtId="49" fontId="31" fillId="36" borderId="0" xfId="71" applyNumberFormat="1" applyFont="1" applyFill="1" applyAlignment="1"/>
    <xf numFmtId="49" fontId="8" fillId="0" borderId="0" xfId="4" applyNumberFormat="1" applyFont="1" applyFill="1" applyAlignment="1">
      <alignment horizontal="left" wrapText="1"/>
    </xf>
    <xf numFmtId="49" fontId="8" fillId="36" borderId="30" xfId="79" applyNumberFormat="1" applyFont="1" applyFill="1" applyBorder="1" applyAlignment="1">
      <alignment horizontal="left"/>
    </xf>
    <xf numFmtId="49" fontId="8" fillId="36" borderId="32" xfId="78" applyNumberFormat="1" applyFont="1" applyFill="1" applyBorder="1" applyAlignment="1">
      <alignment horizontal="left"/>
    </xf>
    <xf numFmtId="49" fontId="9" fillId="36" borderId="30" xfId="74" applyNumberFormat="1" applyFont="1" applyFill="1" applyBorder="1" applyAlignment="1">
      <alignment horizontal="left"/>
    </xf>
    <xf numFmtId="49" fontId="8" fillId="36" borderId="27" xfId="78" applyNumberFormat="1" applyFont="1" applyFill="1" applyBorder="1" applyAlignment="1">
      <alignment horizontal="left" vertical="top"/>
    </xf>
    <xf numFmtId="49" fontId="8" fillId="36" borderId="1" xfId="78" applyNumberFormat="1" applyFont="1" applyFill="1" applyBorder="1" applyAlignment="1">
      <alignment horizontal="left" vertical="top"/>
    </xf>
    <xf numFmtId="49" fontId="9" fillId="36" borderId="1" xfId="78" applyNumberFormat="1" applyFont="1" applyFill="1" applyBorder="1" applyAlignment="1">
      <alignment horizontal="left"/>
    </xf>
    <xf numFmtId="49" fontId="31" fillId="36" borderId="0" xfId="71" applyNumberFormat="1" applyFont="1" applyFill="1" applyAlignment="1">
      <alignment horizontal="left" wrapText="1"/>
    </xf>
    <xf numFmtId="49" fontId="8" fillId="36" borderId="0" xfId="71" applyNumberFormat="1" applyFont="1" applyFill="1" applyAlignment="1">
      <alignment wrapText="1"/>
    </xf>
    <xf numFmtId="2" fontId="8" fillId="36" borderId="0" xfId="4" applyNumberFormat="1" applyFont="1" applyFill="1" applyAlignment="1">
      <alignment horizontal="left" wrapText="1"/>
    </xf>
    <xf numFmtId="2" fontId="8" fillId="36" borderId="0" xfId="0" applyNumberFormat="1" applyFont="1" applyFill="1" applyAlignment="1">
      <alignment horizontal="left" wrapText="1"/>
    </xf>
    <xf numFmtId="49" fontId="8" fillId="36" borderId="34" xfId="74" applyNumberFormat="1" applyFont="1" applyFill="1" applyAlignment="1">
      <alignment horizontal="left" wrapText="1"/>
    </xf>
    <xf numFmtId="49" fontId="8" fillId="38" borderId="32" xfId="78" applyNumberFormat="1" applyFont="1" applyFill="1" applyBorder="1" applyAlignment="1">
      <alignment horizontal="right" wrapText="1"/>
    </xf>
    <xf numFmtId="0" fontId="8" fillId="36" borderId="0" xfId="0" applyNumberFormat="1" applyFont="1" applyFill="1" applyBorder="1" applyAlignment="1">
      <alignment horizontal="left" wrapText="1"/>
    </xf>
    <xf numFmtId="0" fontId="9" fillId="38" borderId="34" xfId="74" applyNumberFormat="1" applyFont="1" applyFill="1" applyAlignment="1">
      <alignment horizontal="right" wrapText="1"/>
    </xf>
    <xf numFmtId="49" fontId="8" fillId="38" borderId="27" xfId="78" applyNumberFormat="1" applyFont="1" applyFill="1" applyBorder="1" applyAlignment="1">
      <alignment horizontal="right" wrapText="1"/>
    </xf>
    <xf numFmtId="0" fontId="8" fillId="38" borderId="27" xfId="78" applyNumberFormat="1" applyFont="1" applyFill="1" applyBorder="1" applyAlignment="1">
      <alignment horizontal="right" wrapText="1"/>
    </xf>
    <xf numFmtId="49" fontId="9" fillId="0" borderId="0" xfId="0" applyNumberFormat="1" applyFont="1"/>
    <xf numFmtId="49" fontId="0" fillId="36" borderId="0" xfId="0" applyNumberFormat="1" applyFill="1" applyAlignment="1">
      <alignment horizontal="left"/>
    </xf>
    <xf numFmtId="0" fontId="9" fillId="0" borderId="0" xfId="77" applyNumberFormat="1" applyFont="1" applyFill="1" applyBorder="1" applyAlignment="1">
      <alignment horizontal="center"/>
    </xf>
    <xf numFmtId="49" fontId="8" fillId="36" borderId="0" xfId="71" applyNumberFormat="1" applyFont="1" applyFill="1" applyBorder="1" applyAlignment="1">
      <alignment horizontal="left"/>
    </xf>
    <xf numFmtId="0" fontId="31" fillId="36" borderId="0" xfId="4" applyNumberFormat="1" applyFont="1" applyFill="1" applyAlignment="1">
      <alignment horizontal="left"/>
    </xf>
    <xf numFmtId="49" fontId="9" fillId="36" borderId="0" xfId="90" applyNumberFormat="1" applyFont="1" applyFill="1" applyAlignment="1">
      <alignment horizontal="left"/>
    </xf>
    <xf numFmtId="1" fontId="9" fillId="36" borderId="0" xfId="4" applyNumberFormat="1" applyFont="1" applyFill="1" applyAlignment="1">
      <alignment horizontal="left"/>
    </xf>
    <xf numFmtId="0" fontId="35" fillId="0" borderId="0" xfId="4"/>
    <xf numFmtId="49" fontId="8" fillId="36" borderId="1" xfId="78" applyNumberFormat="1" applyFont="1" applyFill="1" applyAlignment="1">
      <alignment horizontal="left" indent="2"/>
    </xf>
    <xf numFmtId="1" fontId="9" fillId="36" borderId="0" xfId="4" applyNumberFormat="1" applyFont="1" applyFill="1" applyBorder="1" applyAlignment="1">
      <alignment horizontal="left"/>
    </xf>
    <xf numFmtId="1" fontId="8" fillId="36" borderId="0" xfId="0" applyNumberFormat="1" applyFont="1" applyFill="1" applyAlignment="1">
      <alignment horizontal="left"/>
    </xf>
    <xf numFmtId="49" fontId="8" fillId="36" borderId="34" xfId="82" applyNumberFormat="1" applyFont="1" applyFill="1" applyAlignment="1">
      <alignment horizontal="left"/>
    </xf>
    <xf numFmtId="49" fontId="8" fillId="36" borderId="0" xfId="71" applyNumberFormat="1" applyFont="1" applyFill="1" applyBorder="1" applyAlignment="1"/>
    <xf numFmtId="49" fontId="8" fillId="36" borderId="30" xfId="74" applyNumberFormat="1" applyFont="1" applyFill="1" applyBorder="1" applyAlignment="1">
      <alignment horizontal="left"/>
    </xf>
    <xf numFmtId="49" fontId="9" fillId="36" borderId="30" xfId="74" applyNumberFormat="1" applyFont="1" applyFill="1" applyBorder="1" applyAlignment="1">
      <alignment horizontal="left" wrapText="1"/>
    </xf>
    <xf numFmtId="49" fontId="8" fillId="36" borderId="30" xfId="74" applyNumberFormat="1" applyFont="1" applyFill="1" applyBorder="1" applyAlignment="1">
      <alignment horizontal="left" wrapText="1"/>
    </xf>
    <xf numFmtId="49" fontId="9" fillId="36" borderId="32" xfId="78" applyNumberFormat="1" applyFont="1" applyFill="1" applyBorder="1" applyAlignment="1">
      <alignment horizontal="left"/>
    </xf>
    <xf numFmtId="49" fontId="8" fillId="36" borderId="34" xfId="82" applyNumberFormat="1" applyFont="1" applyFill="1" applyAlignment="1">
      <alignment horizontal="left" wrapText="1"/>
    </xf>
    <xf numFmtId="49" fontId="9" fillId="36" borderId="0" xfId="0" applyNumberFormat="1" applyFont="1" applyFill="1" applyAlignment="1">
      <alignment horizontal="left"/>
    </xf>
    <xf numFmtId="0" fontId="8" fillId="36" borderId="34" xfId="79" applyNumberFormat="1" applyFont="1" applyFill="1" applyBorder="1" applyAlignment="1">
      <alignment horizontal="left"/>
    </xf>
    <xf numFmtId="0" fontId="31" fillId="36" borderId="0" xfId="71" applyNumberFormat="1" applyFont="1" applyFill="1" applyBorder="1" applyAlignment="1">
      <alignment horizontal="left"/>
    </xf>
    <xf numFmtId="0" fontId="8" fillId="36" borderId="0" xfId="71" applyNumberFormat="1" applyFont="1" applyFill="1" applyBorder="1" applyAlignment="1">
      <alignment horizontal="left"/>
    </xf>
    <xf numFmtId="0" fontId="9" fillId="36" borderId="0" xfId="4" applyNumberFormat="1" applyFont="1" applyFill="1" applyAlignment="1">
      <alignment horizontal="left"/>
    </xf>
    <xf numFmtId="0" fontId="8" fillId="36" borderId="0" xfId="72" applyNumberFormat="1" applyFont="1" applyFill="1" applyBorder="1" applyAlignment="1">
      <alignment horizontal="left" wrapText="1"/>
    </xf>
    <xf numFmtId="49" fontId="31" fillId="36" borderId="0" xfId="71" applyNumberFormat="1" applyFont="1" applyFill="1" applyBorder="1" applyAlignment="1">
      <alignment horizontal="left" wrapText="1"/>
    </xf>
    <xf numFmtId="49" fontId="8" fillId="36" borderId="0" xfId="71" applyNumberFormat="1" applyFont="1" applyFill="1" applyBorder="1" applyAlignment="1">
      <alignment horizontal="left" wrapText="1"/>
    </xf>
    <xf numFmtId="49" fontId="9" fillId="0" borderId="1" xfId="78" applyNumberFormat="1" applyFont="1" applyFill="1" applyAlignment="1">
      <alignment horizontal="left"/>
    </xf>
    <xf numFmtId="49" fontId="9" fillId="0" borderId="1" xfId="78" applyNumberFormat="1" applyFont="1" applyFill="1" applyAlignment="1">
      <alignment horizontal="left" wrapText="1"/>
    </xf>
    <xf numFmtId="49" fontId="0" fillId="36" borderId="27" xfId="78" applyNumberFormat="1" applyFont="1" applyFill="1" applyBorder="1" applyAlignment="1">
      <alignment horizontal="left" indent="2"/>
    </xf>
    <xf numFmtId="0" fontId="8" fillId="36" borderId="33" xfId="4" applyNumberFormat="1" applyFont="1" applyFill="1" applyBorder="1"/>
    <xf numFmtId="49" fontId="0" fillId="36" borderId="1" xfId="78" applyNumberFormat="1" applyFont="1" applyFill="1" applyAlignment="1">
      <alignment horizontal="left"/>
    </xf>
    <xf numFmtId="0" fontId="8" fillId="36" borderId="0" xfId="4" applyNumberFormat="1" applyFont="1" applyFill="1" applyBorder="1" applyAlignment="1">
      <alignment horizontal="left" wrapText="1"/>
    </xf>
    <xf numFmtId="49" fontId="9" fillId="36" borderId="27" xfId="78" applyNumberFormat="1" applyFont="1" applyFill="1" applyBorder="1" applyAlignment="1"/>
    <xf numFmtId="2" fontId="9" fillId="36" borderId="34" xfId="74" applyNumberFormat="1" applyFont="1" applyFill="1" applyAlignment="1">
      <alignment horizontal="left" wrapText="1"/>
    </xf>
    <xf numFmtId="0" fontId="9" fillId="36" borderId="1" xfId="78" applyNumberFormat="1" applyFont="1" applyFill="1" applyAlignment="1">
      <alignment horizontal="left" wrapText="1"/>
    </xf>
    <xf numFmtId="2" fontId="9" fillId="36" borderId="30" xfId="74" applyNumberFormat="1" applyFont="1" applyFill="1" applyBorder="1" applyAlignment="1">
      <alignment horizontal="left" wrapText="1"/>
    </xf>
    <xf numFmtId="49" fontId="9" fillId="36" borderId="0" xfId="77" applyNumberFormat="1" applyFont="1" applyFill="1" applyBorder="1" applyAlignment="1">
      <alignment horizontal="left"/>
    </xf>
    <xf numFmtId="0" fontId="9" fillId="36" borderId="0" xfId="77" applyNumberFormat="1" applyFont="1" applyFill="1" applyBorder="1" applyAlignment="1">
      <alignment horizontal="right" wrapText="1"/>
    </xf>
    <xf numFmtId="0" fontId="8" fillId="36" borderId="26" xfId="4" applyNumberFormat="1" applyFont="1" applyFill="1" applyBorder="1"/>
    <xf numFmtId="0" fontId="8" fillId="36" borderId="0" xfId="4" applyNumberFormat="1" applyFont="1" applyFill="1"/>
    <xf numFmtId="0" fontId="8" fillId="36" borderId="0" xfId="4" applyNumberFormat="1" applyFont="1" applyFill="1" applyBorder="1"/>
    <xf numFmtId="0" fontId="8" fillId="36" borderId="0" xfId="4" applyNumberFormat="1" applyFont="1" applyFill="1" applyAlignment="1">
      <alignment horizontal="center"/>
    </xf>
    <xf numFmtId="49" fontId="9" fillId="36" borderId="32" xfId="78" applyNumberFormat="1" applyFont="1" applyFill="1" applyBorder="1" applyAlignment="1"/>
    <xf numFmtId="49" fontId="8" fillId="0" borderId="1" xfId="78" applyNumberFormat="1" applyFont="1" applyFill="1" applyAlignment="1">
      <alignment horizontal="left" wrapText="1"/>
    </xf>
    <xf numFmtId="49" fontId="9" fillId="36" borderId="0" xfId="4" applyNumberFormat="1" applyFont="1" applyFill="1" applyBorder="1" applyAlignment="1">
      <alignment horizontal="left" wrapText="1"/>
    </xf>
    <xf numFmtId="0" fontId="9" fillId="36" borderId="0" xfId="4" applyNumberFormat="1" applyFont="1" applyFill="1" applyBorder="1" applyAlignment="1">
      <alignment horizontal="left" wrapText="1"/>
    </xf>
    <xf numFmtId="0" fontId="8" fillId="0" borderId="0" xfId="0" applyNumberFormat="1" applyFont="1" applyFill="1" applyAlignment="1">
      <alignment horizontal="left" wrapText="1"/>
    </xf>
    <xf numFmtId="0" fontId="8" fillId="36" borderId="0" xfId="4" applyFont="1" applyFill="1" applyAlignment="1">
      <alignment horizontal="left" wrapText="1"/>
    </xf>
    <xf numFmtId="0" fontId="8" fillId="36" borderId="0" xfId="0" applyFont="1" applyFill="1" applyAlignment="1">
      <alignment horizontal="left" wrapText="1"/>
    </xf>
    <xf numFmtId="49" fontId="9" fillId="36" borderId="34" xfId="74" applyNumberFormat="1" applyFont="1" applyFill="1" applyBorder="1" applyAlignment="1">
      <alignment horizontal="left"/>
    </xf>
    <xf numFmtId="49" fontId="8" fillId="36" borderId="34" xfId="79" applyNumberFormat="1" applyFont="1" applyFill="1" applyBorder="1" applyAlignment="1">
      <alignment horizontal="left" wrapText="1" indent="2"/>
    </xf>
    <xf numFmtId="49" fontId="31" fillId="36" borderId="0" xfId="4" applyNumberFormat="1" applyFont="1" applyFill="1" applyBorder="1" applyAlignment="1">
      <alignment horizontal="left"/>
    </xf>
    <xf numFmtId="49" fontId="8" fillId="36" borderId="0" xfId="0" applyNumberFormat="1" applyFont="1" applyFill="1" applyBorder="1" applyAlignment="1"/>
    <xf numFmtId="49" fontId="8" fillId="0" borderId="16" xfId="79" applyNumberFormat="1" applyFont="1" applyFill="1" applyBorder="1" applyAlignment="1">
      <alignment horizontal="left" indent="2"/>
    </xf>
    <xf numFmtId="49" fontId="8" fillId="36" borderId="34" xfId="74" applyNumberFormat="1" applyFont="1" applyFill="1" applyBorder="1" applyAlignment="1">
      <alignment horizontal="left"/>
    </xf>
    <xf numFmtId="0" fontId="31" fillId="36" borderId="0" xfId="71" applyNumberFormat="1" applyFont="1" applyFill="1" applyAlignment="1">
      <alignment horizontal="left" vertical="top"/>
    </xf>
    <xf numFmtId="0" fontId="8" fillId="36" borderId="0" xfId="71" applyNumberFormat="1" applyFont="1" applyFill="1" applyAlignment="1">
      <alignment horizontal="left" vertical="top"/>
    </xf>
    <xf numFmtId="49" fontId="9" fillId="36" borderId="0" xfId="77" applyNumberFormat="1" applyFont="1" applyFill="1" applyAlignment="1">
      <alignment horizontal="left"/>
    </xf>
    <xf numFmtId="1" fontId="9" fillId="36" borderId="0" xfId="77" applyNumberFormat="1" applyFont="1" applyFill="1" applyAlignment="1">
      <alignment horizontal="left"/>
    </xf>
    <xf numFmtId="1" fontId="8" fillId="36" borderId="0" xfId="0" applyNumberFormat="1" applyFont="1" applyFill="1" applyAlignment="1">
      <alignment horizontal="left" wrapText="1"/>
    </xf>
    <xf numFmtId="49" fontId="0" fillId="36" borderId="34" xfId="74" applyNumberFormat="1" applyFont="1" applyFill="1" applyAlignment="1">
      <alignment horizontal="left" wrapText="1"/>
    </xf>
    <xf numFmtId="0" fontId="8" fillId="0" borderId="0" xfId="4" applyNumberFormat="1" applyFont="1" applyFill="1" applyAlignment="1">
      <alignment horizontal="left" wrapText="1"/>
    </xf>
    <xf numFmtId="49" fontId="8" fillId="0" borderId="0" xfId="0" applyNumberFormat="1" applyFont="1" applyFill="1" applyAlignment="1">
      <alignment horizontal="left" wrapText="1"/>
    </xf>
    <xf numFmtId="49" fontId="0" fillId="0" borderId="0" xfId="0" applyNumberFormat="1" applyFill="1" applyAlignment="1">
      <alignment horizontal="left" wrapText="1"/>
    </xf>
    <xf numFmtId="0" fontId="9" fillId="0" borderId="0" xfId="0" applyFont="1"/>
    <xf numFmtId="49" fontId="9" fillId="36" borderId="0" xfId="77" applyNumberFormat="1" applyFont="1" applyFill="1" applyAlignment="1">
      <alignment horizontal="left" wrapText="1"/>
    </xf>
    <xf numFmtId="1" fontId="9" fillId="36" borderId="0" xfId="77" applyNumberFormat="1" applyFont="1" applyFill="1" applyAlignment="1">
      <alignment horizontal="left" wrapText="1"/>
    </xf>
    <xf numFmtId="0" fontId="8" fillId="36" borderId="0" xfId="0" applyNumberFormat="1" applyFont="1" applyFill="1"/>
    <xf numFmtId="0" fontId="9" fillId="36" borderId="0" xfId="0" applyNumberFormat="1" applyFont="1" applyFill="1"/>
    <xf numFmtId="49" fontId="8" fillId="36" borderId="0" xfId="63" applyNumberFormat="1" applyFont="1" applyFill="1" applyAlignment="1">
      <alignment horizontal="left" wrapText="1"/>
    </xf>
    <xf numFmtId="1" fontId="8" fillId="36" borderId="0" xfId="0" applyNumberFormat="1" applyFont="1" applyFill="1" applyAlignment="1">
      <alignment wrapText="1"/>
    </xf>
    <xf numFmtId="49" fontId="31" fillId="36" borderId="0" xfId="71" applyNumberFormat="1" applyFill="1" applyAlignment="1">
      <alignment horizontal="left"/>
    </xf>
  </cellXfs>
  <cellStyles count="91">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ar_border" xfId="79" xr:uid="{00000000-0005-0000-0000-000018000000}"/>
    <cellStyle name="ar_border 2" xfId="89" xr:uid="{6239B585-B52B-4584-956E-2F7F86DC3E90}"/>
    <cellStyle name="ar_border_pdf" xfId="82" xr:uid="{00000000-0005-0000-0000-000019000000}"/>
    <cellStyle name="ar_dottedborder" xfId="78" xr:uid="{00000000-0005-0000-0000-00001A000000}"/>
    <cellStyle name="ar_head" xfId="71" xr:uid="{00000000-0005-0000-0000-00001B000000}"/>
    <cellStyle name="ar_leveys107" xfId="70" xr:uid="{00000000-0005-0000-0000-00001C000000}"/>
    <cellStyle name="ar_leveys110" xfId="81" xr:uid="{00000000-0005-0000-0000-00001D000000}"/>
    <cellStyle name="ar_leveys120" xfId="68" xr:uid="{00000000-0005-0000-0000-00001E000000}"/>
    <cellStyle name="ar_leveys120 2" xfId="88" xr:uid="{EEF75546-24F6-4771-8667-BFC919E1C3EF}"/>
    <cellStyle name="ar_leveys20" xfId="72" xr:uid="{00000000-0005-0000-0000-00001F000000}"/>
    <cellStyle name="ar_leveys30" xfId="80" xr:uid="{00000000-0005-0000-0000-000020000000}"/>
    <cellStyle name="ar_leveys460" xfId="85" xr:uid="{00000000-0005-0000-0000-000021000000}"/>
    <cellStyle name="ar_leveys50" xfId="67" xr:uid="{00000000-0005-0000-0000-000022000000}"/>
    <cellStyle name="ar_leveys60" xfId="66" xr:uid="{00000000-0005-0000-0000-000023000000}"/>
    <cellStyle name="ar_leveys64" xfId="73" xr:uid="{00000000-0005-0000-0000-000024000000}"/>
    <cellStyle name="ar_leveys70" xfId="64" xr:uid="{00000000-0005-0000-0000-000025000000}"/>
    <cellStyle name="ar_leveys80" xfId="69" xr:uid="{00000000-0005-0000-0000-000026000000}"/>
    <cellStyle name="ar_leveys90" xfId="65" xr:uid="{00000000-0005-0000-0000-000028000000}"/>
    <cellStyle name="ar_pagebreak" xfId="63" xr:uid="{00000000-0005-0000-0000-000029000000}"/>
    <cellStyle name="ar_pagebreak2015" xfId="90" xr:uid="{C06F9448-AA2D-4BA8-90A8-C782F57E1C32}"/>
    <cellStyle name="ar_smallheading" xfId="74" xr:uid="{00000000-0005-0000-0000-00002B000000}"/>
    <cellStyle name="ar_smallheading_noborder" xfId="77" xr:uid="{00000000-0005-0000-0000-00002C000000}"/>
    <cellStyle name="ar-middle" xfId="75" xr:uid="{00000000-0005-0000-0000-00002D000000}"/>
    <cellStyle name="ar-smallheading" xfId="87" xr:uid="{00000000-0005-0000-0000-00002E000000}"/>
    <cellStyle name="ar-strictseparator" xfId="86" xr:uid="{00000000-0005-0000-0000-00002F000000}"/>
    <cellStyle name="Bad" xfId="12" builtinId="27" customBuiltin="1"/>
    <cellStyle name="Calculation" xfId="16" builtinId="22" customBuiltin="1"/>
    <cellStyle name="Check Cell" xfId="18" builtinId="23" customBuiltin="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1" builtinId="8"/>
    <cellStyle name="Hyperlink 2" xfId="51" xr:uid="{00000000-0005-0000-0000-00003C000000}"/>
    <cellStyle name="Input" xfId="14" builtinId="20" customBuiltin="1"/>
    <cellStyle name="Linked Cell" xfId="17" builtinId="24" customBuiltin="1"/>
    <cellStyle name="Neutral" xfId="13" builtinId="28" customBuiltin="1"/>
    <cellStyle name="Normal" xfId="0" builtinId="0" customBuiltin="1"/>
    <cellStyle name="Normal 2" xfId="84" xr:uid="{00000000-0005-0000-0000-000041000000}"/>
    <cellStyle name="Normal 3" xfId="83" xr:uid="{00000000-0005-0000-0000-000042000000}"/>
    <cellStyle name="Normal_Five Years in Figures" xfId="2" xr:uid="{00000000-0005-0000-0000-000043000000}"/>
    <cellStyle name="Normal_Interimreport Q2_2010 ilman kaavoja" xfId="76" xr:uid="{00000000-0005-0000-0000-000044000000}"/>
    <cellStyle name="Normal_IS_BS_CF_EQ_2008" xfId="3" xr:uid="{00000000-0005-0000-0000-000045000000}"/>
    <cellStyle name="Normal_Notes 2008" xfId="4" xr:uid="{00000000-0005-0000-0000-000048000000}"/>
    <cellStyle name="Normale_2000" xfId="5" xr:uid="{00000000-0005-0000-0000-00004A000000}"/>
    <cellStyle name="Note 2" xfId="49" xr:uid="{00000000-0005-0000-0000-00004B000000}"/>
    <cellStyle name="Output" xfId="15" builtinId="21" customBuiltin="1"/>
    <cellStyle name="Percent 10" xfId="56" xr:uid="{00000000-0005-0000-0000-00004E000000}"/>
    <cellStyle name="Percent 11" xfId="57" xr:uid="{00000000-0005-0000-0000-00004F000000}"/>
    <cellStyle name="Percent 12" xfId="58" xr:uid="{00000000-0005-0000-0000-000050000000}"/>
    <cellStyle name="Percent 13" xfId="59" xr:uid="{00000000-0005-0000-0000-000051000000}"/>
    <cellStyle name="Percent 14" xfId="60" xr:uid="{00000000-0005-0000-0000-000052000000}"/>
    <cellStyle name="Percent 15" xfId="61" xr:uid="{00000000-0005-0000-0000-000053000000}"/>
    <cellStyle name="Percent 16" xfId="62" xr:uid="{00000000-0005-0000-0000-000054000000}"/>
    <cellStyle name="Percent 2" xfId="46" xr:uid="{00000000-0005-0000-0000-000055000000}"/>
    <cellStyle name="Percent 3" xfId="50" xr:uid="{00000000-0005-0000-0000-000056000000}"/>
    <cellStyle name="Percent 4" xfId="48" xr:uid="{00000000-0005-0000-0000-000057000000}"/>
    <cellStyle name="Percent 5" xfId="53" xr:uid="{00000000-0005-0000-0000-000058000000}"/>
    <cellStyle name="Percent 6" xfId="47" xr:uid="{00000000-0005-0000-0000-000059000000}"/>
    <cellStyle name="Percent 7" xfId="52" xr:uid="{00000000-0005-0000-0000-00005A000000}"/>
    <cellStyle name="Percent 8" xfId="54" xr:uid="{00000000-0005-0000-0000-00005B000000}"/>
    <cellStyle name="Percent 9" xfId="55" xr:uid="{00000000-0005-0000-0000-00005C000000}"/>
    <cellStyle name="Title" xfId="6" builtinId="15" customBuiltin="1"/>
    <cellStyle name="Total" xfId="21" builtinId="25" customBuiltin="1"/>
    <cellStyle name="Warning Text" xfId="19" builtinId="11" customBuiltin="1"/>
  </cellStyles>
  <dxfs count="0"/>
  <tableStyles count="0" defaultTableStyle="TableStyleMedium9" defaultPivotStyle="PivotStyleLight16"/>
  <colors>
    <mruColors>
      <color rgb="FFFFCCFF"/>
      <color rgb="FFEBEBEB"/>
      <color rgb="FF996633"/>
      <color rgb="FF66FF33"/>
      <color rgb="FF339933"/>
      <color rgb="FFFF33CC"/>
      <color rgb="FF0066FF"/>
      <color rgb="FFFF6600"/>
      <color rgb="FFCCFFC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8" Type="http://schemas.openxmlformats.org/officeDocument/2006/relationships/hyperlink" Target="http://www.wartsilareports.com/fi-FI/2018/ar/taloudellinen-katsaus/tilinpaatos/konsernitilinpaatos/konsernitilinpaatoksen-liitetiedot/" TargetMode="External"/><Relationship Id="rId13" Type="http://schemas.openxmlformats.org/officeDocument/2006/relationships/hyperlink" Target="http://www.wartsilareports.com/fi-FI/2018/ar/taloudellinen-katsaus/tilinpaatos/konsernitilinpaatos/konsernitilinpaatoksen-liitetiedot/" TargetMode="External"/><Relationship Id="rId3" Type="http://schemas.openxmlformats.org/officeDocument/2006/relationships/hyperlink" Target="http://www.wartsilareports.com/fi-FI/2018/ar/taloudellinen-katsaus/tilinpaatos/konsernitilinpaatos/konsernitilinpaatoksen-liitetiedot/" TargetMode="External"/><Relationship Id="rId7" Type="http://schemas.openxmlformats.org/officeDocument/2006/relationships/hyperlink" Target="http://www.wartsilareports.com/fi-FI/2018/ar/taloudellinen-katsaus/tilinpaatos/konsernitilinpaatos/konsernitilinpaatoksen-liitetiedot/" TargetMode="External"/><Relationship Id="rId12" Type="http://schemas.openxmlformats.org/officeDocument/2006/relationships/hyperlink" Target="http://www.wartsilareports.com/fi-FI/2018/ar/taloudellinen-katsaus/tilinpaatos/konsernitilinpaatos/konsernitilinpaatoksen-liitetiedot/" TargetMode="External"/><Relationship Id="rId2" Type="http://schemas.openxmlformats.org/officeDocument/2006/relationships/hyperlink" Target="http://www.wartsilareports.com/fi-FI/2018/ar/taloudellinen-katsaus/tilinpaatos/konsernitilinpaatos/konsernitilinpaatoksen-liitetiedot/" TargetMode="External"/><Relationship Id="rId1" Type="http://schemas.openxmlformats.org/officeDocument/2006/relationships/hyperlink" Target="http://www.wartsilareports.com/fi-FI%20/2018/ar/taloudellinen-katsaus/tilinpaatos/konsernitilinpaatos/konsernitilinpaatoksen-liitetiedot/" TargetMode="External"/><Relationship Id="rId6" Type="http://schemas.openxmlformats.org/officeDocument/2006/relationships/hyperlink" Target="http://www.wartsilareports.com/fi-FI/2018/ar/taloudellinen-katsaus/tilinpaatos/konsernitilinpaatos/konsernitilinpaatoksen-liitetiedot/" TargetMode="External"/><Relationship Id="rId11" Type="http://schemas.openxmlformats.org/officeDocument/2006/relationships/hyperlink" Target="http://www.wartsilareports.com/fi-FI/2018/ar/taloudellinen-katsaus/tilinpaatos/konsernitilinpaatos/konsernitilinpaatoksen-liitetiedot/" TargetMode="External"/><Relationship Id="rId5" Type="http://schemas.openxmlformats.org/officeDocument/2006/relationships/hyperlink" Target="http://www.wartsilareports.com/fi-FI/2018/ar/taloudellinen-katsaus/tilinpaatos/konsernitilinpaatos/konsernitilinpaatoksen-liitetiedot/" TargetMode="External"/><Relationship Id="rId15" Type="http://schemas.openxmlformats.org/officeDocument/2006/relationships/customProperty" Target="../customProperty6.bin"/><Relationship Id="rId10" Type="http://schemas.openxmlformats.org/officeDocument/2006/relationships/hyperlink" Target="http://www.wartsilareports.com/fi-FI/2018/ar/taloudellinen-katsaus/tilinpaatos/konsernitilinpaatos/konsernitilinpaatoksen-liitetiedot/" TargetMode="External"/><Relationship Id="rId4" Type="http://schemas.openxmlformats.org/officeDocument/2006/relationships/hyperlink" Target="http://www.wartsilareports.com/fi-FI/2018/ar/taloudellinen-katsaus/tilinpaatos/konsernitilinpaatos/konsernitilinpaatoksen-liitetiedot/" TargetMode="External"/><Relationship Id="rId9" Type="http://schemas.openxmlformats.org/officeDocument/2006/relationships/hyperlink" Target="http://www.wartsilareports.com/fi-FI/2018/ar/taloudellinen-katsaus/tilinpaatos/konsernitilinpaatos/konsernitilinpaatoksen-liitetiedot/" TargetMode="External"/><Relationship Id="rId1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printerSettings" Target="../printerSettings/printerSettings6.bin"/><Relationship Id="rId1" Type="http://schemas.openxmlformats.org/officeDocument/2006/relationships/hyperlink" Target="http://www.wartsilareports.com/fi-FI/2018/ar/taloudellinen-katsaus/tilinpaatos/konsernitilinpaatos/konsernitilinpaatoksen-liitetiedot/"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wartsilareports.com/fi-FI/2018/ar/taloudellinen-katsaus/tilinpaatos/konsernitilinpaatos/konsernitilinpaatoksen-liitetiedot/" TargetMode="External"/><Relationship Id="rId13" Type="http://schemas.openxmlformats.org/officeDocument/2006/relationships/hyperlink" Target="http://www.wartsilareports.com/fi-FI/2018/ar/taloudellinen-katsaus/tilinpaatos/konsernitilinpaatos/konsernitilinpaatoksen-liitetiedot/" TargetMode="External"/><Relationship Id="rId18" Type="http://schemas.openxmlformats.org/officeDocument/2006/relationships/hyperlink" Target="http://www.wartsilareports.com/fi-FI/2018/ar/taloudellinen-katsaus/tilinpaatos/konsernitilinpaatos/konsernitilinpaatoksen-liitetiedot/" TargetMode="External"/><Relationship Id="rId26" Type="http://schemas.openxmlformats.org/officeDocument/2006/relationships/hyperlink" Target="http://www.wartsilareports.com/fi-FI/2018/ar/taloudellinen-katsaus/tilinpaatos/konsernitilinpaatos/konsernitilinpaatoksen-liitetiedot/" TargetMode="External"/><Relationship Id="rId39" Type="http://schemas.openxmlformats.org/officeDocument/2006/relationships/printerSettings" Target="../printerSettings/printerSettings7.bin"/><Relationship Id="rId3" Type="http://schemas.openxmlformats.org/officeDocument/2006/relationships/hyperlink" Target="http://www.wartsilareports.com/fi-FI/2018/ar/taloudellinen-katsaus/tilinpaatos/konsernitilinpaatos/konsernitilinpaatoksen-liitetiedot/" TargetMode="External"/><Relationship Id="rId21" Type="http://schemas.openxmlformats.org/officeDocument/2006/relationships/hyperlink" Target="http://www.wartsilareports.com/fi-FI/2018/ar/taloudellinen-katsaus/tilinpaatos/konsernitilinpaatos/konsernitilinpaatoksen-liitetiedot/" TargetMode="External"/><Relationship Id="rId34" Type="http://schemas.openxmlformats.org/officeDocument/2006/relationships/hyperlink" Target="http://www.wartsilareports.com/fi-FI/2018/ar/taloudellinen-katsaus/tilinpaatos/konsernitilinpaatos/konsernitilinpaatoksen-liitetiedot/" TargetMode="External"/><Relationship Id="rId7" Type="http://schemas.openxmlformats.org/officeDocument/2006/relationships/hyperlink" Target="http://www.wartsilareports.com/fi-FI/2018/ar/taloudellinen-katsaus/tilinpaatos/konsernitilinpaatos/konsernitilinpaatoksen-liitetiedot/" TargetMode="External"/><Relationship Id="rId12" Type="http://schemas.openxmlformats.org/officeDocument/2006/relationships/hyperlink" Target="http://www.wartsilareports.com/fi-FI/2018/ar/taloudellinen-katsaus/tilinpaatos/konsernitilinpaatos/konsernitilinpaatoksen-liitetiedot/" TargetMode="External"/><Relationship Id="rId17" Type="http://schemas.openxmlformats.org/officeDocument/2006/relationships/hyperlink" Target="http://www.wartsilareports.com/fi-FI/2018/ar/taloudellinen-katsaus/tilinpaatos/konsernitilinpaatos/konsernitilinpaatoksen-liitetiedot/" TargetMode="External"/><Relationship Id="rId25" Type="http://schemas.openxmlformats.org/officeDocument/2006/relationships/hyperlink" Target="http://www.wartsilareports.com/fi-FI/2018/ar/taloudellinen-katsaus/tilinpaatos/konsernitilinpaatos/konsernitilinpaatoksen-liitetiedot/" TargetMode="External"/><Relationship Id="rId33" Type="http://schemas.openxmlformats.org/officeDocument/2006/relationships/hyperlink" Target="http://www.wartsilareports.com/fi-FI/2018/ar/taloudellinen-katsaus/tilinpaatos/konsernitilinpaatos/konsernitilinpaatoksen-liitetiedot/" TargetMode="External"/><Relationship Id="rId38" Type="http://schemas.openxmlformats.org/officeDocument/2006/relationships/hyperlink" Target="http://www.wartsilareports.com/fi-FI/2018/ar/taloudellinen-katsaus/tilinpaatos/konsernitilinpaatos/konsernitilinpaatoksen-liitetiedot/" TargetMode="External"/><Relationship Id="rId2" Type="http://schemas.openxmlformats.org/officeDocument/2006/relationships/hyperlink" Target="http://www.wartsilareports.com/fi-FI/2018/ar/taloudellinen-katsaus/tilinpaatos/konsernitilinpaatos/konsernitilinpaatoksen-liitetiedot/" TargetMode="External"/><Relationship Id="rId16" Type="http://schemas.openxmlformats.org/officeDocument/2006/relationships/hyperlink" Target="http://www.wartsilareports.com/fi-FI/2018/ar/taloudellinen-katsaus/tilinpaatos/konsernitilinpaatos/konsernitilinpaatoksen-liitetiedot/" TargetMode="External"/><Relationship Id="rId20" Type="http://schemas.openxmlformats.org/officeDocument/2006/relationships/hyperlink" Target="http://www.wartsilareports.com/fi-FI/2018/ar/taloudellinen-katsaus/tilinpaatos/konsernitilinpaatos/konsernitilinpaatoksen-liitetiedot/" TargetMode="External"/><Relationship Id="rId29" Type="http://schemas.openxmlformats.org/officeDocument/2006/relationships/hyperlink" Target="http://www.wartsilareports.com/fi-FI/2018/ar/taloudellinen-katsaus/tilinpaatos/konsernitilinpaatos/konsernitilinpaatoksen-liitetiedot/" TargetMode="External"/><Relationship Id="rId1" Type="http://schemas.openxmlformats.org/officeDocument/2006/relationships/hyperlink" Target="http://www.wartsilareports.com/fi-FI/2018/ar/taloudellinen-katsaus/tilinpaatos/konsernitilinpaatos/konsernitilinpaatoksen-liitetiedot/" TargetMode="External"/><Relationship Id="rId6" Type="http://schemas.openxmlformats.org/officeDocument/2006/relationships/hyperlink" Target="http://www.wartsilareports.com/fi-FI/2018/ar/taloudellinen-katsaus/tilinpaatos/konsernitilinpaatos/konsernitilinpaatoksen-liitetiedot/" TargetMode="External"/><Relationship Id="rId11" Type="http://schemas.openxmlformats.org/officeDocument/2006/relationships/hyperlink" Target="http://www.wartsilareports.com/fi-FI/2018/ar/taloudellinen-katsaus/tilinpaatos/konsernitilinpaatos/konsernitilinpaatoksen-liitetiedot/" TargetMode="External"/><Relationship Id="rId24" Type="http://schemas.openxmlformats.org/officeDocument/2006/relationships/hyperlink" Target="http://www.wartsilareports.com/fi-FI/2018/ar/taloudellinen-katsaus/tilinpaatos/konsernitilinpaatos/konsernitilinpaatoksen-liitetiedot/" TargetMode="External"/><Relationship Id="rId32" Type="http://schemas.openxmlformats.org/officeDocument/2006/relationships/hyperlink" Target="http://www.wartsilareports.com/fi-FI/2018/ar/taloudellinen-katsaus/tilinpaatos/konsernitilinpaatos/konsernitilinpaatoksen-liitetiedot/" TargetMode="External"/><Relationship Id="rId37" Type="http://schemas.openxmlformats.org/officeDocument/2006/relationships/hyperlink" Target="http://www.wartsilareports.com/fi-FI/2018/ar/taloudellinen-katsaus/tilinpaatos/konsernitilinpaatos/konsernitilinpaatoksen-liitetiedot/" TargetMode="External"/><Relationship Id="rId40" Type="http://schemas.openxmlformats.org/officeDocument/2006/relationships/customProperty" Target="../customProperty8.bin"/><Relationship Id="rId5" Type="http://schemas.openxmlformats.org/officeDocument/2006/relationships/hyperlink" Target="http://www.wartsilareports.com/fi-FI/2018/ar/taloudellinen-katsaus/tilinpaatos/konsernitilinpaatos/konsernitilinpaatoksen-liitetiedot/" TargetMode="External"/><Relationship Id="rId15" Type="http://schemas.openxmlformats.org/officeDocument/2006/relationships/hyperlink" Target="http://www.wartsilareports.com/fi-FI/2018/ar/taloudellinen-katsaus/tilinpaatos/konsernitilinpaatos/konsernitilinpaatoksen-liitetiedot/" TargetMode="External"/><Relationship Id="rId23" Type="http://schemas.openxmlformats.org/officeDocument/2006/relationships/hyperlink" Target="http://www.wartsilareports.com/fi-FI/2018/ar/taloudellinen-katsaus/tilinpaatos/konsernitilinpaatos/konsernitilinpaatoksen-liitetiedot/" TargetMode="External"/><Relationship Id="rId28" Type="http://schemas.openxmlformats.org/officeDocument/2006/relationships/hyperlink" Target="http://www.wartsilareports.com/fi-FI/2018/ar/taloudellinen-katsaus/tilinpaatos/konsernitilinpaatos/konsernitilinpaatoksen-liitetiedot/" TargetMode="External"/><Relationship Id="rId36" Type="http://schemas.openxmlformats.org/officeDocument/2006/relationships/hyperlink" Target="http://www.wartsilareports.com/fi-FI/2018/ar/taloudellinen-katsaus/tilinpaatos/konsernitilinpaatos/konsernitilinpaatoksen-liitetiedot/" TargetMode="External"/><Relationship Id="rId10" Type="http://schemas.openxmlformats.org/officeDocument/2006/relationships/hyperlink" Target="http://www.wartsilareports.com/fi-FI/2018/ar/taloudellinen-katsaus/tilinpaatos/konsernitilinpaatos/konsernitilinpaatoksen-liitetiedot/" TargetMode="External"/><Relationship Id="rId19" Type="http://schemas.openxmlformats.org/officeDocument/2006/relationships/hyperlink" Target="http://www.wartsilareports.com/fi-FI/2018/ar/taloudellinen-katsaus/tilinpaatos/konsernitilinpaatos/konsernitilinpaatoksen-liitetiedot/" TargetMode="External"/><Relationship Id="rId31" Type="http://schemas.openxmlformats.org/officeDocument/2006/relationships/hyperlink" Target="http://www.wartsilareports.com/fi-FI/2018/ar/taloudellinen-katsaus/tilinpaatos/konsernitilinpaatos/konsernitilinpaatoksen-liitetiedot/" TargetMode="External"/><Relationship Id="rId4" Type="http://schemas.openxmlformats.org/officeDocument/2006/relationships/hyperlink" Target="http://www.wartsilareports.com/fi-FI/2018/ar/taloudellinen-katsaus/tilinpaatos/konsernitilinpaatos/konsernitilinpaatoksen-liitetiedot/" TargetMode="External"/><Relationship Id="rId9" Type="http://schemas.openxmlformats.org/officeDocument/2006/relationships/hyperlink" Target="http://www.wartsilareports.com/fi-FI/2018/ar/taloudellinen-katsaus/tilinpaatos/konsernitilinpaatos/konsernitilinpaatoksen-liitetiedot/" TargetMode="External"/><Relationship Id="rId14" Type="http://schemas.openxmlformats.org/officeDocument/2006/relationships/hyperlink" Target="http://www.wartsilareports.com/fi-FI/2018/ar/taloudellinen-katsaus/tilinpaatos/konsernitilinpaatos/konsernitilinpaatoksen-liitetiedot/" TargetMode="External"/><Relationship Id="rId22" Type="http://schemas.openxmlformats.org/officeDocument/2006/relationships/hyperlink" Target="http://www.wartsilareports.com/fi-FI/2018/ar/taloudellinen-katsaus/tilinpaatos/konsernitilinpaatos/konsernitilinpaatoksen-liitetiedot/" TargetMode="External"/><Relationship Id="rId27" Type="http://schemas.openxmlformats.org/officeDocument/2006/relationships/hyperlink" Target="http://www.wartsilareports.com/fi-FI/2018/ar/taloudellinen-katsaus/tilinpaatos/konsernitilinpaatos/konsernitilinpaatoksen-liitetiedot/" TargetMode="External"/><Relationship Id="rId30" Type="http://schemas.openxmlformats.org/officeDocument/2006/relationships/hyperlink" Target="http://www.wartsilareports.com/fi-FI/2018/ar/taloudellinen-katsaus/tilinpaatos/konsernitilinpaatos/konsernitilinpaatoksen-liitetiedot/" TargetMode="External"/><Relationship Id="rId35" Type="http://schemas.openxmlformats.org/officeDocument/2006/relationships/hyperlink" Target="http://www.wartsilareports.com/fi-FI/2018/ar/taloudellinen-katsaus/tilinpaatos/konsernitilinpaatos/konsernitilinpaatoksen-liitetiedot/"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wartsilareports.com/fi-FI/2018/ar/taloudellinen-katsaus/tilinpaatos/konsernitilinpaatos/konsernitilinpaatoksen-liitetiedot/" TargetMode="External"/><Relationship Id="rId13" Type="http://schemas.openxmlformats.org/officeDocument/2006/relationships/hyperlink" Target="http://www.wartsilareports.com/fi-FI/2018/ar/taloudellinen-katsaus/tilinpaatos/konsernitilinpaatos/konsernitilinpaatoksen-liitetiedot/" TargetMode="External"/><Relationship Id="rId3" Type="http://schemas.openxmlformats.org/officeDocument/2006/relationships/hyperlink" Target="http://www.wartsilareports.com/fi-FI/2018/ar/taloudellinen-katsaus/tilinpaatos/konsernitilinpaatos/konsernitilinpaatoksen-liitetiedot/" TargetMode="External"/><Relationship Id="rId7" Type="http://schemas.openxmlformats.org/officeDocument/2006/relationships/hyperlink" Target="http://www.wartsilareports.com/fi-FI/2018/ar/taloudellinen-katsaus/tilinpaatos/konsernitilinpaatos/konsernitilinpaatoksen-liitetiedot/" TargetMode="External"/><Relationship Id="rId12" Type="http://schemas.openxmlformats.org/officeDocument/2006/relationships/hyperlink" Target="http://www.wartsilareports.com/fi-FI/2018/ar/taloudellinen-katsaus/tilinpaatos/konsernitilinpaatos/konsernitilinpaatoksen-liitetiedot/" TargetMode="External"/><Relationship Id="rId2" Type="http://schemas.openxmlformats.org/officeDocument/2006/relationships/hyperlink" Target="http://www.wartsilareports.com/fi-FI/2018/ar/taloudellinen-katsaus/tilinpaatos/konsernitilinpaatos/konsernitilinpaatoksen-liitetiedot/" TargetMode="External"/><Relationship Id="rId16" Type="http://schemas.openxmlformats.org/officeDocument/2006/relationships/customProperty" Target="../customProperty9.bin"/><Relationship Id="rId1" Type="http://schemas.openxmlformats.org/officeDocument/2006/relationships/hyperlink" Target="http://www.wartsilareports.com/fi-FI/2018/ar/taloudellinen-katsaus/tilinpaatos/konsernitilinpaatos/konsernitilinpaatoksen-liitetiedot/" TargetMode="External"/><Relationship Id="rId6" Type="http://schemas.openxmlformats.org/officeDocument/2006/relationships/hyperlink" Target="http://www.wartsilareports.com/fi-FI/2018/ar/taloudellinen-katsaus/tilinpaatos/konsernitilinpaatos/konsernitilinpaatoksen-liitetiedot/" TargetMode="External"/><Relationship Id="rId11" Type="http://schemas.openxmlformats.org/officeDocument/2006/relationships/hyperlink" Target="http://www.wartsilareports.com/fi-FI/2018/ar/taloudellinen-katsaus/tilinpaatos/konsernitilinpaatos/konsernitilinpaatoksen-liitetiedot/" TargetMode="External"/><Relationship Id="rId5" Type="http://schemas.openxmlformats.org/officeDocument/2006/relationships/hyperlink" Target="http://www.wartsilareports.com/fi-FI/2018/ar/taloudellinen-katsaus/tilinpaatos/konsernitilinpaatos/konsernitilinpaatoksen-liitetiedot/" TargetMode="External"/><Relationship Id="rId15" Type="http://schemas.openxmlformats.org/officeDocument/2006/relationships/printerSettings" Target="../printerSettings/printerSettings8.bin"/><Relationship Id="rId10" Type="http://schemas.openxmlformats.org/officeDocument/2006/relationships/hyperlink" Target="http://www.wartsilareports.com/fi-FI/2018/ar/taloudellinen-katsaus/tilinpaatos/konsernitilinpaatos/konsernitilinpaatoksen-liitetiedot/" TargetMode="External"/><Relationship Id="rId4" Type="http://schemas.openxmlformats.org/officeDocument/2006/relationships/hyperlink" Target="http://www.wartsilareports.com/fi-FI/2018/ar/taloudellinen-katsaus/tilinpaatos/konsernitilinpaatos/konsernitilinpaatoksen-liitetiedot/" TargetMode="External"/><Relationship Id="rId9" Type="http://schemas.openxmlformats.org/officeDocument/2006/relationships/hyperlink" Target="http://www.wartsilareports.com/fi-FI/2018/ar/taloudellinen-katsaus/tilinpaatos/konsernitilinpaatos/konsernitilinpaatoksen-liitetiedot/" TargetMode="External"/><Relationship Id="rId14" Type="http://schemas.openxmlformats.org/officeDocument/2006/relationships/hyperlink" Target="http://www.wartsilareports.com/fi-FI/2018/ar/taloudellinen-katsaus/tilinpaatos/konsernitilinpaatos/konsernitilinpaatoksen-liitetiedot/" TargetMode="Externa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3872C-C536-449B-B35C-D14F0B359F88}">
  <sheetPr codeName="Sheet19"/>
  <dimension ref="A1:Q33"/>
  <sheetViews>
    <sheetView tabSelected="1" zoomScaleNormal="100" workbookViewId="0">
      <selection activeCell="B1" sqref="B1"/>
    </sheetView>
  </sheetViews>
  <sheetFormatPr defaultColWidth="8.7109375" defaultRowHeight="10.199999999999999"/>
  <cols>
    <col min="1" max="1" width="2.42578125" style="243" customWidth="1"/>
    <col min="2" max="2" width="87.42578125" style="974" customWidth="1"/>
    <col min="3" max="4" width="20" style="232" customWidth="1"/>
    <col min="5" max="17" width="3.7109375" style="976" customWidth="1"/>
    <col min="18" max="16384" width="8.7109375" style="1079"/>
  </cols>
  <sheetData>
    <row r="1" spans="1:17" ht="11.25" customHeight="1">
      <c r="A1" s="802"/>
      <c r="B1" s="780"/>
      <c r="C1" s="997"/>
      <c r="D1" s="1000"/>
    </row>
    <row r="2" spans="1:17" ht="11.25" customHeight="1">
      <c r="A2" s="802"/>
      <c r="B2" s="780"/>
      <c r="C2" s="997"/>
      <c r="D2" s="489" t="s">
        <v>1025</v>
      </c>
    </row>
    <row r="3" spans="1:17">
      <c r="A3" s="1115" t="s">
        <v>740</v>
      </c>
      <c r="B3" s="1115"/>
      <c r="C3" s="620">
        <v>2018</v>
      </c>
      <c r="D3" s="525">
        <v>2017</v>
      </c>
    </row>
    <row r="4" spans="1:17">
      <c r="A4" s="1112" t="s">
        <v>1182</v>
      </c>
      <c r="B4" s="1112"/>
      <c r="C4" s="635">
        <v>621</v>
      </c>
      <c r="D4" s="449">
        <v>612</v>
      </c>
    </row>
    <row r="5" spans="1:17">
      <c r="A5" s="1116"/>
      <c r="B5" s="1116"/>
      <c r="C5" s="624"/>
      <c r="D5" s="427"/>
    </row>
    <row r="6" spans="1:17">
      <c r="A6" s="1117" t="s">
        <v>1184</v>
      </c>
      <c r="B6" s="1117"/>
      <c r="C6" s="624">
        <v>-43</v>
      </c>
      <c r="D6" s="427">
        <v>-36</v>
      </c>
    </row>
    <row r="7" spans="1:17">
      <c r="A7" s="1116"/>
      <c r="B7" s="1116"/>
      <c r="C7" s="624"/>
      <c r="D7" s="427"/>
    </row>
    <row r="8" spans="1:17">
      <c r="A8" s="1112" t="s">
        <v>1183</v>
      </c>
      <c r="B8" s="1112"/>
      <c r="C8" s="630">
        <v>577</v>
      </c>
      <c r="D8" s="502">
        <v>576</v>
      </c>
    </row>
    <row r="9" spans="1:17">
      <c r="A9" s="1116"/>
      <c r="B9" s="1116"/>
      <c r="C9" s="630"/>
      <c r="D9" s="502"/>
    </row>
    <row r="10" spans="1:17">
      <c r="A10" s="1112" t="s">
        <v>1185</v>
      </c>
      <c r="B10" s="1112"/>
      <c r="C10" s="630"/>
      <c r="D10" s="502"/>
    </row>
    <row r="11" spans="1:17">
      <c r="A11" s="1109" t="s">
        <v>1117</v>
      </c>
      <c r="B11" s="1109"/>
      <c r="C11" s="663">
        <v>-8</v>
      </c>
      <c r="D11" s="553">
        <v>-10</v>
      </c>
    </row>
    <row r="12" spans="1:17">
      <c r="A12" s="1109" t="s">
        <v>1118</v>
      </c>
      <c r="B12" s="1109"/>
      <c r="C12" s="663">
        <v>-19</v>
      </c>
      <c r="D12" s="553">
        <v>-18</v>
      </c>
      <c r="E12" s="996"/>
      <c r="F12" s="996"/>
      <c r="G12" s="996"/>
      <c r="H12" s="996"/>
      <c r="I12" s="996"/>
      <c r="J12" s="996"/>
      <c r="K12" s="996"/>
      <c r="L12" s="996"/>
      <c r="M12" s="996"/>
      <c r="N12" s="996"/>
      <c r="O12" s="996"/>
      <c r="P12" s="996"/>
      <c r="Q12" s="996"/>
    </row>
    <row r="13" spans="1:17">
      <c r="A13" s="1110" t="s">
        <v>1471</v>
      </c>
      <c r="B13" s="1110"/>
      <c r="C13" s="663">
        <v>-2</v>
      </c>
      <c r="D13" s="502">
        <v>-9</v>
      </c>
    </row>
    <row r="14" spans="1:17">
      <c r="A14" s="1111" t="s">
        <v>1472</v>
      </c>
      <c r="B14" s="1111"/>
      <c r="C14" s="664">
        <v>-6</v>
      </c>
      <c r="D14" s="480">
        <v>-2</v>
      </c>
    </row>
    <row r="15" spans="1:17">
      <c r="A15" s="1112" t="s">
        <v>1210</v>
      </c>
      <c r="B15" s="1112"/>
      <c r="C15" s="630">
        <v>-35</v>
      </c>
      <c r="D15" s="502">
        <v>-37</v>
      </c>
    </row>
    <row r="16" spans="1:17">
      <c r="A16" s="1113"/>
      <c r="B16" s="1113"/>
      <c r="C16" s="998"/>
      <c r="D16" s="999"/>
    </row>
    <row r="17" spans="1:4">
      <c r="A17" s="1114" t="s">
        <v>845</v>
      </c>
      <c r="B17" s="1114"/>
      <c r="C17" s="626">
        <v>543</v>
      </c>
      <c r="D17" s="526">
        <v>538</v>
      </c>
    </row>
    <row r="18" spans="1:4">
      <c r="B18" s="975"/>
      <c r="C18" s="975"/>
      <c r="D18" s="975"/>
    </row>
    <row r="19" spans="1:4">
      <c r="B19" s="1108"/>
      <c r="C19" s="1108"/>
      <c r="D19" s="1108"/>
    </row>
    <row r="20" spans="1:4">
      <c r="B20" s="976"/>
      <c r="C20" s="976"/>
      <c r="D20" s="976"/>
    </row>
    <row r="21" spans="1:4">
      <c r="B21" s="976"/>
      <c r="C21" s="976"/>
      <c r="D21" s="976"/>
    </row>
    <row r="22" spans="1:4">
      <c r="B22" s="976"/>
      <c r="C22" s="976"/>
      <c r="D22" s="976"/>
    </row>
    <row r="23" spans="1:4">
      <c r="B23" s="976"/>
      <c r="C23" s="976"/>
      <c r="D23" s="976"/>
    </row>
    <row r="24" spans="1:4">
      <c r="B24" s="976"/>
      <c r="C24" s="976"/>
      <c r="D24" s="976"/>
    </row>
    <row r="25" spans="1:4">
      <c r="B25" s="976"/>
      <c r="C25" s="976"/>
      <c r="D25" s="976"/>
    </row>
    <row r="26" spans="1:4">
      <c r="B26" s="976"/>
      <c r="C26" s="976"/>
      <c r="D26" s="976"/>
    </row>
    <row r="27" spans="1:4">
      <c r="B27" s="976"/>
      <c r="C27" s="976"/>
      <c r="D27" s="976"/>
    </row>
    <row r="28" spans="1:4">
      <c r="B28" s="976"/>
      <c r="C28" s="976"/>
      <c r="D28" s="976"/>
    </row>
    <row r="29" spans="1:4">
      <c r="B29" s="976"/>
      <c r="C29" s="976"/>
      <c r="D29" s="976"/>
    </row>
    <row r="30" spans="1:4">
      <c r="B30" s="976"/>
      <c r="C30" s="976"/>
      <c r="D30" s="976"/>
    </row>
    <row r="31" spans="1:4">
      <c r="B31" s="976"/>
      <c r="C31" s="976"/>
      <c r="D31" s="976"/>
    </row>
    <row r="32" spans="1:4">
      <c r="B32" s="976"/>
      <c r="C32" s="976"/>
      <c r="D32" s="976"/>
    </row>
    <row r="33" spans="2:4">
      <c r="B33" s="976"/>
      <c r="C33" s="976"/>
      <c r="D33" s="976"/>
    </row>
  </sheetData>
  <mergeCells count="16">
    <mergeCell ref="A8:B8"/>
    <mergeCell ref="A12:B12"/>
    <mergeCell ref="A3:B3"/>
    <mergeCell ref="A4:B4"/>
    <mergeCell ref="A5:B5"/>
    <mergeCell ref="A6:B6"/>
    <mergeCell ref="A7:B7"/>
    <mergeCell ref="A9:B9"/>
    <mergeCell ref="A10:B10"/>
    <mergeCell ref="B19:D19"/>
    <mergeCell ref="A11:B11"/>
    <mergeCell ref="A13:B13"/>
    <mergeCell ref="A14:B14"/>
    <mergeCell ref="A15:B15"/>
    <mergeCell ref="A16:B16"/>
    <mergeCell ref="A17:B17"/>
  </mergeCells>
  <pageMargins left="0.75" right="0.75" top="1" bottom="1" header="0.5" footer="0.5"/>
  <pageSetup scale="87" orientation="portrait" horizontalDpi="300" r:id="rId1"/>
  <headerFooter alignWithMargins="0"/>
  <customProperties>
    <customPr name="WORKBKFUNCTIONCACHE"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dimension ref="A1:Q53"/>
  <sheetViews>
    <sheetView zoomScaleNormal="100" zoomScalePageLayoutView="90" workbookViewId="0">
      <selection sqref="A1:G1"/>
    </sheetView>
  </sheetViews>
  <sheetFormatPr defaultColWidth="8.7109375" defaultRowHeight="10.199999999999999"/>
  <cols>
    <col min="1" max="1" width="50" style="205" customWidth="1"/>
    <col min="2" max="7" width="13.28515625" style="205" customWidth="1"/>
    <col min="8" max="17" width="3.7109375" style="205" customWidth="1"/>
    <col min="18" max="16384" width="8.7109375" style="1079"/>
  </cols>
  <sheetData>
    <row r="1" spans="1:17" ht="15.75" customHeight="1">
      <c r="A1" s="1151" t="s">
        <v>674</v>
      </c>
      <c r="B1" s="1151"/>
      <c r="C1" s="1151"/>
      <c r="D1" s="1151"/>
      <c r="E1" s="1151"/>
      <c r="F1" s="1151"/>
      <c r="G1" s="1151"/>
    </row>
    <row r="2" spans="1:17" ht="11.25" customHeight="1">
      <c r="A2" s="279"/>
      <c r="B2" s="280"/>
      <c r="C2" s="280"/>
      <c r="D2" s="281"/>
      <c r="E2" s="282"/>
      <c r="F2" s="282"/>
      <c r="G2" s="282"/>
    </row>
    <row r="3" spans="1:17" ht="34.5" customHeight="1">
      <c r="A3" s="1187" t="s">
        <v>1407</v>
      </c>
      <c r="B3" s="1188"/>
      <c r="C3" s="1188"/>
      <c r="D3" s="1188"/>
      <c r="E3" s="1188"/>
      <c r="F3" s="1188"/>
      <c r="G3" s="1188"/>
    </row>
    <row r="4" spans="1:17" ht="11.25" customHeight="1">
      <c r="A4" s="790"/>
      <c r="B4" s="262"/>
      <c r="C4" s="262"/>
      <c r="D4" s="221"/>
      <c r="E4" s="221"/>
      <c r="F4" s="221"/>
      <c r="G4" s="221"/>
    </row>
    <row r="5" spans="1:17" ht="75.599999999999994" customHeight="1">
      <c r="A5" s="1187" t="s">
        <v>1637</v>
      </c>
      <c r="B5" s="1187"/>
      <c r="C5" s="1187"/>
      <c r="D5" s="1187"/>
      <c r="E5" s="1187"/>
      <c r="F5" s="1187"/>
      <c r="G5" s="1187"/>
    </row>
    <row r="6" spans="1:17" ht="11.25" customHeight="1">
      <c r="A6" s="790"/>
      <c r="B6" s="284"/>
      <c r="C6" s="284"/>
      <c r="D6" s="285"/>
      <c r="E6" s="285"/>
      <c r="F6" s="285"/>
      <c r="G6" s="285"/>
    </row>
    <row r="7" spans="1:17" ht="11.25" customHeight="1">
      <c r="A7" s="1192" t="s">
        <v>1409</v>
      </c>
      <c r="B7" s="1192"/>
      <c r="C7" s="1192"/>
      <c r="D7" s="1192"/>
      <c r="E7" s="1192"/>
      <c r="F7" s="1192"/>
      <c r="G7" s="1192"/>
      <c r="H7" s="996"/>
      <c r="I7" s="996"/>
      <c r="J7" s="996"/>
      <c r="K7" s="996"/>
      <c r="L7" s="996"/>
      <c r="M7" s="996"/>
      <c r="N7" s="996"/>
      <c r="O7" s="996"/>
      <c r="P7" s="996"/>
      <c r="Q7" s="996"/>
    </row>
    <row r="8" spans="1:17" ht="11.25" customHeight="1">
      <c r="A8" s="302"/>
      <c r="B8" s="996"/>
      <c r="C8" s="996"/>
      <c r="D8" s="996"/>
      <c r="E8" s="996"/>
      <c r="F8" s="318"/>
      <c r="G8" s="318"/>
      <c r="H8" s="996"/>
      <c r="I8" s="996"/>
      <c r="J8" s="996"/>
      <c r="K8" s="996"/>
      <c r="L8" s="996"/>
      <c r="M8" s="996"/>
      <c r="N8" s="996"/>
      <c r="O8" s="996"/>
      <c r="P8" s="996"/>
      <c r="Q8" s="996"/>
    </row>
    <row r="9" spans="1:17" ht="11.25" customHeight="1">
      <c r="A9" s="1008"/>
      <c r="B9" s="1012"/>
      <c r="C9" s="1012"/>
      <c r="D9" s="1012"/>
      <c r="E9" s="1012"/>
      <c r="F9" s="318"/>
      <c r="G9" s="489" t="s">
        <v>1025</v>
      </c>
      <c r="H9" s="1012"/>
      <c r="I9" s="1012"/>
      <c r="J9" s="1012"/>
      <c r="K9" s="1012"/>
      <c r="L9" s="1012"/>
      <c r="M9" s="1012"/>
      <c r="N9" s="1012"/>
      <c r="O9" s="1012"/>
      <c r="P9" s="1012"/>
      <c r="Q9" s="1012"/>
    </row>
    <row r="10" spans="1:17" ht="11.25" customHeight="1">
      <c r="A10" s="991" t="s">
        <v>740</v>
      </c>
      <c r="B10" s="990"/>
      <c r="C10" s="990"/>
      <c r="D10" s="990"/>
      <c r="E10" s="990"/>
      <c r="F10" s="650">
        <v>2018</v>
      </c>
      <c r="G10" s="309">
        <v>2017</v>
      </c>
      <c r="H10" s="996"/>
      <c r="I10" s="996"/>
      <c r="J10" s="996"/>
      <c r="K10" s="996"/>
      <c r="L10" s="996"/>
      <c r="M10" s="996"/>
      <c r="N10" s="996"/>
      <c r="O10" s="996"/>
      <c r="P10" s="996"/>
      <c r="Q10" s="996"/>
    </row>
    <row r="11" spans="1:17" ht="11.25" customHeight="1">
      <c r="A11" s="1193" t="s">
        <v>1107</v>
      </c>
      <c r="B11" s="1193" t="s">
        <v>363</v>
      </c>
      <c r="C11" s="1193" t="s">
        <v>654</v>
      </c>
      <c r="D11" s="1193" t="s">
        <v>620</v>
      </c>
      <c r="E11" s="1193" t="s">
        <v>735</v>
      </c>
      <c r="F11" s="651">
        <v>1517</v>
      </c>
      <c r="G11" s="429">
        <v>1401</v>
      </c>
      <c r="H11" s="996"/>
      <c r="I11" s="996"/>
      <c r="J11" s="996"/>
      <c r="K11" s="996"/>
      <c r="L11" s="996"/>
      <c r="M11" s="996"/>
      <c r="N11" s="996"/>
      <c r="O11" s="996"/>
      <c r="P11" s="996"/>
      <c r="Q11" s="996"/>
    </row>
    <row r="12" spans="1:17" ht="11.25" customHeight="1">
      <c r="A12" s="1121" t="s">
        <v>1106</v>
      </c>
      <c r="B12" s="1121" t="s">
        <v>363</v>
      </c>
      <c r="C12" s="1121" t="s">
        <v>654</v>
      </c>
      <c r="D12" s="1121" t="s">
        <v>620</v>
      </c>
      <c r="E12" s="1121" t="s">
        <v>735</v>
      </c>
      <c r="F12" s="652">
        <v>1232</v>
      </c>
      <c r="G12" s="430">
        <v>1104</v>
      </c>
      <c r="H12" s="996"/>
      <c r="I12" s="996"/>
      <c r="J12" s="996"/>
      <c r="K12" s="996"/>
      <c r="L12" s="996"/>
      <c r="M12" s="996"/>
      <c r="N12" s="996"/>
      <c r="O12" s="996"/>
      <c r="P12" s="996"/>
      <c r="Q12" s="996"/>
    </row>
    <row r="13" spans="1:17" ht="11.25" customHeight="1">
      <c r="A13" s="1118" t="s">
        <v>323</v>
      </c>
      <c r="B13" s="1118" t="s">
        <v>363</v>
      </c>
      <c r="C13" s="1118" t="s">
        <v>654</v>
      </c>
      <c r="D13" s="1118" t="s">
        <v>620</v>
      </c>
      <c r="E13" s="1118" t="s">
        <v>735</v>
      </c>
      <c r="F13" s="1086">
        <v>2426</v>
      </c>
      <c r="G13" s="1087">
        <v>2407</v>
      </c>
      <c r="H13" s="996"/>
      <c r="I13" s="996"/>
      <c r="J13" s="996"/>
      <c r="K13" s="996"/>
      <c r="L13" s="996"/>
      <c r="M13" s="996"/>
      <c r="N13" s="996"/>
      <c r="O13" s="996"/>
      <c r="P13" s="996"/>
      <c r="Q13" s="996"/>
    </row>
    <row r="14" spans="1:17" ht="11.25" customHeight="1">
      <c r="A14" s="1177" t="s">
        <v>620</v>
      </c>
      <c r="B14" s="1177" t="s">
        <v>363</v>
      </c>
      <c r="C14" s="1177" t="s">
        <v>654</v>
      </c>
      <c r="D14" s="1177" t="s">
        <v>620</v>
      </c>
      <c r="E14" s="1177" t="s">
        <v>735</v>
      </c>
      <c r="F14" s="653">
        <v>5174</v>
      </c>
      <c r="G14" s="542">
        <v>4911</v>
      </c>
      <c r="H14" s="996"/>
      <c r="I14" s="996"/>
      <c r="J14" s="996"/>
      <c r="K14" s="996"/>
      <c r="L14" s="996"/>
      <c r="M14" s="996"/>
      <c r="N14" s="996"/>
      <c r="O14" s="996"/>
      <c r="P14" s="996"/>
      <c r="Q14" s="996"/>
    </row>
    <row r="15" spans="1:17" ht="11.25" customHeight="1">
      <c r="A15" s="971"/>
      <c r="B15" s="284"/>
      <c r="C15" s="284"/>
      <c r="D15" s="285"/>
      <c r="E15" s="285"/>
      <c r="F15" s="285"/>
      <c r="G15" s="285"/>
      <c r="H15" s="972"/>
      <c r="I15" s="972"/>
      <c r="J15" s="972"/>
      <c r="K15" s="972"/>
      <c r="L15" s="972"/>
      <c r="M15" s="972"/>
      <c r="N15" s="972"/>
      <c r="O15" s="972"/>
      <c r="P15" s="972"/>
      <c r="Q15" s="972"/>
    </row>
    <row r="16" spans="1:17" ht="22.5" customHeight="1">
      <c r="A16" s="1187" t="s">
        <v>1408</v>
      </c>
      <c r="B16" s="1187"/>
      <c r="C16" s="1187"/>
      <c r="D16" s="1187"/>
      <c r="E16" s="1187"/>
      <c r="F16" s="1187"/>
      <c r="G16" s="1187"/>
    </row>
    <row r="17" spans="1:17" ht="11.25" customHeight="1">
      <c r="A17" s="985"/>
      <c r="B17" s="284"/>
      <c r="C17" s="284"/>
      <c r="D17" s="285"/>
      <c r="E17" s="285"/>
      <c r="F17" s="285"/>
      <c r="G17" s="285"/>
      <c r="H17" s="996"/>
      <c r="I17" s="996"/>
      <c r="J17" s="996"/>
      <c r="K17" s="996"/>
      <c r="L17" s="996"/>
      <c r="M17" s="996"/>
      <c r="N17" s="996"/>
      <c r="O17" s="996"/>
      <c r="P17" s="996"/>
      <c r="Q17" s="996"/>
    </row>
    <row r="18" spans="1:17" ht="23.25" customHeight="1">
      <c r="A18" s="1187" t="s">
        <v>1605</v>
      </c>
      <c r="B18" s="1187"/>
      <c r="C18" s="1187"/>
      <c r="D18" s="1187"/>
      <c r="E18" s="1187"/>
      <c r="F18" s="1187"/>
      <c r="G18" s="1187"/>
      <c r="H18" s="996"/>
      <c r="I18" s="996"/>
      <c r="J18" s="996"/>
      <c r="K18" s="996"/>
      <c r="L18" s="996"/>
      <c r="M18" s="996"/>
      <c r="N18" s="996"/>
      <c r="O18" s="996"/>
      <c r="P18" s="996"/>
      <c r="Q18" s="996"/>
    </row>
    <row r="19" spans="1:17" ht="11.25" customHeight="1">
      <c r="A19" s="985"/>
      <c r="B19" s="284"/>
      <c r="C19" s="284"/>
      <c r="D19" s="285"/>
      <c r="E19" s="285"/>
      <c r="F19" s="285"/>
      <c r="G19" s="285"/>
      <c r="H19" s="996"/>
      <c r="I19" s="996"/>
      <c r="J19" s="996"/>
      <c r="K19" s="996"/>
      <c r="L19" s="996"/>
      <c r="M19" s="996"/>
      <c r="N19" s="996"/>
      <c r="O19" s="996"/>
      <c r="P19" s="996"/>
      <c r="Q19" s="996"/>
    </row>
    <row r="20" spans="1:17" ht="11.25" customHeight="1">
      <c r="A20" s="1189" t="s">
        <v>309</v>
      </c>
      <c r="B20" s="1190"/>
      <c r="C20" s="1190"/>
      <c r="D20" s="1190"/>
      <c r="E20" s="1190"/>
      <c r="F20" s="1190"/>
      <c r="G20" s="1190"/>
    </row>
    <row r="21" spans="1:17" ht="11.25" customHeight="1">
      <c r="A21" s="287"/>
      <c r="D21" s="384"/>
      <c r="E21" s="384"/>
      <c r="F21" s="384"/>
      <c r="G21" s="384"/>
    </row>
    <row r="22" spans="1:17" ht="11.25" customHeight="1">
      <c r="A22" s="287"/>
      <c r="B22" s="1012"/>
      <c r="C22" s="1012"/>
      <c r="D22" s="384"/>
      <c r="E22" s="384"/>
      <c r="F22" s="384"/>
      <c r="G22" s="489" t="s">
        <v>1025</v>
      </c>
      <c r="H22" s="1012"/>
      <c r="I22" s="1012"/>
      <c r="J22" s="1012"/>
      <c r="K22" s="1012"/>
      <c r="L22" s="1012"/>
      <c r="M22" s="1012"/>
      <c r="N22" s="1012"/>
      <c r="O22" s="1012"/>
      <c r="P22" s="1012"/>
      <c r="Q22" s="1012"/>
    </row>
    <row r="23" spans="1:17" ht="11.25" customHeight="1">
      <c r="A23" s="288"/>
      <c r="B23" s="289"/>
      <c r="C23" s="290"/>
      <c r="D23" s="646"/>
      <c r="E23" s="647">
        <v>2018</v>
      </c>
      <c r="F23" s="489"/>
      <c r="G23" s="420">
        <v>2017</v>
      </c>
    </row>
    <row r="24" spans="1:17" ht="33.75" customHeight="1">
      <c r="A24" s="304" t="s">
        <v>740</v>
      </c>
      <c r="B24" s="305"/>
      <c r="C24" s="306"/>
      <c r="D24" s="648" t="s">
        <v>613</v>
      </c>
      <c r="E24" s="648" t="s">
        <v>1296</v>
      </c>
      <c r="F24" s="307" t="s">
        <v>613</v>
      </c>
      <c r="G24" s="307" t="s">
        <v>1296</v>
      </c>
    </row>
    <row r="25" spans="1:17" ht="11.25" customHeight="1">
      <c r="A25" s="898" t="s">
        <v>734</v>
      </c>
      <c r="B25" s="564"/>
      <c r="C25" s="421"/>
      <c r="D25" s="622">
        <v>56</v>
      </c>
      <c r="E25" s="622">
        <v>242.0799979</v>
      </c>
      <c r="F25" s="422">
        <v>115</v>
      </c>
      <c r="G25" s="422">
        <v>249</v>
      </c>
    </row>
    <row r="26" spans="1:17" ht="11.25" customHeight="1">
      <c r="A26" s="1191" t="s">
        <v>1037</v>
      </c>
      <c r="B26" s="1191"/>
      <c r="C26" s="715"/>
      <c r="D26" s="621">
        <v>1429</v>
      </c>
      <c r="E26" s="621">
        <v>1533.6949568999999</v>
      </c>
      <c r="F26" s="424">
        <v>1411</v>
      </c>
      <c r="G26" s="424">
        <v>1378</v>
      </c>
      <c r="H26" s="239"/>
    </row>
    <row r="27" spans="1:17" ht="11.25" customHeight="1">
      <c r="A27" s="425" t="s">
        <v>362</v>
      </c>
      <c r="B27" s="426"/>
      <c r="C27" s="426"/>
      <c r="D27" s="624">
        <v>1867</v>
      </c>
      <c r="E27" s="624">
        <v>90.463122900000002</v>
      </c>
      <c r="F27" s="427">
        <v>1933</v>
      </c>
      <c r="G27" s="427">
        <v>112</v>
      </c>
    </row>
    <row r="28" spans="1:17" ht="11.25" customHeight="1">
      <c r="A28" s="1159" t="s">
        <v>363</v>
      </c>
      <c r="B28" s="1159"/>
      <c r="C28" s="426"/>
      <c r="D28" s="624">
        <v>1245</v>
      </c>
      <c r="E28" s="624">
        <v>265.80327349999999</v>
      </c>
      <c r="F28" s="427">
        <v>1132</v>
      </c>
      <c r="G28" s="427">
        <v>265</v>
      </c>
    </row>
    <row r="29" spans="1:17" ht="11.25" customHeight="1">
      <c r="A29" s="550" t="s">
        <v>654</v>
      </c>
      <c r="B29" s="958"/>
      <c r="C29" s="958"/>
      <c r="D29" s="625">
        <v>577</v>
      </c>
      <c r="E29" s="625">
        <v>5.0228036999999999</v>
      </c>
      <c r="F29" s="480">
        <v>321</v>
      </c>
      <c r="G29" s="480">
        <v>5</v>
      </c>
    </row>
    <row r="30" spans="1:17" ht="11.25" customHeight="1">
      <c r="A30" s="539" t="s">
        <v>620</v>
      </c>
      <c r="B30" s="540"/>
      <c r="C30" s="540"/>
      <c r="D30" s="626">
        <v>5174</v>
      </c>
      <c r="E30" s="626">
        <v>2137</v>
      </c>
      <c r="F30" s="541">
        <v>4911</v>
      </c>
      <c r="G30" s="541">
        <v>2009</v>
      </c>
    </row>
    <row r="31" spans="1:17" ht="11.25" customHeight="1">
      <c r="A31" s="415"/>
      <c r="B31" s="297"/>
      <c r="C31" s="297"/>
      <c r="D31" s="297"/>
      <c r="E31" s="297"/>
      <c r="F31" s="297"/>
      <c r="G31" s="297"/>
    </row>
    <row r="32" spans="1:17" ht="22.5" customHeight="1">
      <c r="A32" s="1186" t="s">
        <v>1644</v>
      </c>
      <c r="B32" s="1150"/>
      <c r="C32" s="1150"/>
      <c r="D32" s="1150"/>
      <c r="E32" s="1150"/>
      <c r="F32" s="1150"/>
      <c r="G32" s="1150"/>
    </row>
    <row r="33" spans="1:7" ht="11.25" customHeight="1">
      <c r="A33" s="283"/>
      <c r="B33" s="300"/>
      <c r="C33" s="300"/>
      <c r="D33" s="230"/>
      <c r="E33" s="230"/>
      <c r="F33" s="230"/>
      <c r="G33" s="230"/>
    </row>
    <row r="34" spans="1:7" ht="12.75" customHeight="1">
      <c r="A34" s="996"/>
      <c r="B34" s="996"/>
      <c r="C34" s="996"/>
      <c r="D34" s="996"/>
      <c r="E34" s="996"/>
      <c r="F34" s="996"/>
      <c r="G34" s="996"/>
    </row>
    <row r="35" spans="1:7" ht="10.5" customHeight="1">
      <c r="A35" s="996"/>
      <c r="B35" s="996"/>
      <c r="C35" s="996"/>
      <c r="D35" s="996"/>
      <c r="E35" s="996"/>
      <c r="F35" s="996"/>
      <c r="G35" s="996"/>
    </row>
    <row r="36" spans="1:7" ht="22.5" customHeight="1">
      <c r="A36" s="996"/>
      <c r="B36" s="996"/>
      <c r="C36" s="996"/>
      <c r="D36" s="996"/>
      <c r="E36" s="996"/>
      <c r="F36" s="996"/>
      <c r="G36" s="996"/>
    </row>
    <row r="37" spans="1:7" ht="11.25" customHeight="1">
      <c r="A37" s="996"/>
      <c r="B37" s="996"/>
      <c r="C37" s="996"/>
      <c r="D37" s="996"/>
      <c r="E37" s="996"/>
      <c r="F37" s="996"/>
      <c r="G37" s="996"/>
    </row>
    <row r="38" spans="1:7" ht="55.5" customHeight="1">
      <c r="A38" s="996"/>
      <c r="B38" s="996"/>
      <c r="C38" s="996"/>
      <c r="D38" s="996"/>
      <c r="E38" s="996"/>
      <c r="F38" s="996"/>
      <c r="G38" s="996"/>
    </row>
    <row r="39" spans="1:7" ht="11.25" customHeight="1">
      <c r="A39" s="996"/>
      <c r="B39" s="996"/>
      <c r="C39" s="996"/>
      <c r="D39" s="996"/>
      <c r="E39" s="996"/>
      <c r="F39" s="996"/>
      <c r="G39" s="996"/>
    </row>
    <row r="40" spans="1:7" ht="11.25" customHeight="1">
      <c r="A40" s="996"/>
      <c r="B40" s="996"/>
      <c r="C40" s="996"/>
      <c r="D40" s="996"/>
      <c r="E40" s="996"/>
      <c r="F40" s="996"/>
      <c r="G40" s="996"/>
    </row>
    <row r="41" spans="1:7" ht="12.75" customHeight="1">
      <c r="A41" s="996"/>
      <c r="B41" s="996"/>
      <c r="C41" s="996"/>
      <c r="D41" s="996"/>
      <c r="E41" s="996"/>
      <c r="F41" s="996"/>
      <c r="G41" s="996"/>
    </row>
    <row r="42" spans="1:7" ht="22.5" customHeight="1">
      <c r="A42" s="996"/>
      <c r="B42" s="996"/>
      <c r="C42" s="996"/>
      <c r="D42" s="996"/>
      <c r="E42" s="996"/>
      <c r="F42" s="996"/>
      <c r="G42" s="996"/>
    </row>
    <row r="43" spans="1:7" ht="11.25" customHeight="1">
      <c r="A43" s="996"/>
      <c r="B43" s="996"/>
      <c r="C43" s="996"/>
      <c r="D43" s="996"/>
      <c r="E43" s="996"/>
      <c r="F43" s="996"/>
      <c r="G43" s="996"/>
    </row>
    <row r="44" spans="1:7" ht="12.75" customHeight="1">
      <c r="A44" s="996"/>
      <c r="B44" s="996"/>
      <c r="C44" s="996"/>
      <c r="D44" s="996"/>
      <c r="E44" s="996"/>
      <c r="F44" s="996"/>
      <c r="G44" s="996"/>
    </row>
    <row r="45" spans="1:7" ht="11.25" customHeight="1">
      <c r="A45" s="996"/>
      <c r="B45" s="996"/>
      <c r="C45" s="996"/>
      <c r="D45" s="996"/>
      <c r="E45" s="996"/>
      <c r="F45" s="996"/>
      <c r="G45" s="996"/>
    </row>
    <row r="46" spans="1:7" ht="11.25" customHeight="1">
      <c r="A46" s="996"/>
      <c r="B46" s="996"/>
      <c r="C46" s="996"/>
      <c r="D46" s="996"/>
      <c r="E46" s="996"/>
      <c r="F46" s="996"/>
      <c r="G46" s="996"/>
    </row>
    <row r="47" spans="1:7" ht="11.25" customHeight="1">
      <c r="A47" s="996"/>
      <c r="B47" s="996"/>
      <c r="C47" s="996"/>
      <c r="D47" s="996"/>
      <c r="E47" s="996"/>
      <c r="F47" s="996"/>
      <c r="G47" s="996"/>
    </row>
    <row r="48" spans="1:7" ht="11.25" customHeight="1">
      <c r="A48" s="996"/>
      <c r="B48" s="996"/>
      <c r="C48" s="996"/>
      <c r="D48" s="996"/>
      <c r="E48" s="996"/>
      <c r="F48" s="996"/>
      <c r="G48" s="996"/>
    </row>
    <row r="49" spans="1:7" ht="11.25" customHeight="1">
      <c r="A49" s="996"/>
      <c r="B49" s="996"/>
      <c r="C49" s="996"/>
      <c r="D49" s="996"/>
      <c r="E49" s="996"/>
      <c r="F49" s="996"/>
      <c r="G49" s="996"/>
    </row>
    <row r="50" spans="1:7" ht="11.25" customHeight="1">
      <c r="A50" s="996"/>
      <c r="B50" s="996"/>
      <c r="C50" s="996"/>
      <c r="D50" s="996"/>
      <c r="E50" s="996"/>
      <c r="F50" s="996"/>
      <c r="G50" s="996"/>
    </row>
    <row r="51" spans="1:7" ht="11.25" customHeight="1">
      <c r="A51" s="996"/>
      <c r="B51" s="996"/>
      <c r="C51" s="996"/>
      <c r="D51" s="996"/>
      <c r="E51" s="996"/>
      <c r="F51" s="996"/>
      <c r="G51" s="996"/>
    </row>
    <row r="52" spans="1:7">
      <c r="A52" s="996"/>
      <c r="B52" s="996"/>
      <c r="C52" s="996"/>
      <c r="D52" s="996"/>
      <c r="E52" s="996"/>
      <c r="F52" s="996"/>
      <c r="G52" s="996"/>
    </row>
    <row r="53" spans="1:7">
      <c r="A53" s="996"/>
      <c r="B53" s="996"/>
      <c r="C53" s="996"/>
      <c r="D53" s="996"/>
      <c r="E53" s="996"/>
      <c r="F53" s="996"/>
      <c r="G53" s="996"/>
    </row>
  </sheetData>
  <mergeCells count="14">
    <mergeCell ref="A32:G32"/>
    <mergeCell ref="A1:G1"/>
    <mergeCell ref="A3:G3"/>
    <mergeCell ref="A5:G5"/>
    <mergeCell ref="A20:G20"/>
    <mergeCell ref="A26:B26"/>
    <mergeCell ref="A28:B28"/>
    <mergeCell ref="A7:G7"/>
    <mergeCell ref="A11:E11"/>
    <mergeCell ref="A12:E12"/>
    <mergeCell ref="A13:E13"/>
    <mergeCell ref="A14:E14"/>
    <mergeCell ref="A16:G16"/>
    <mergeCell ref="A18:G18"/>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C197"/>
  <sheetViews>
    <sheetView zoomScaleNormal="100" zoomScaleSheetLayoutView="80" workbookViewId="0">
      <selection sqref="A1:C1"/>
    </sheetView>
  </sheetViews>
  <sheetFormatPr defaultColWidth="8.7109375" defaultRowHeight="10.199999999999999"/>
  <cols>
    <col min="1" max="1" width="90" style="871" customWidth="1"/>
    <col min="2" max="3" width="20" style="871" customWidth="1"/>
    <col min="4" max="17" width="3.7109375" style="1079" customWidth="1"/>
    <col min="18" max="16384" width="8.7109375" style="1079"/>
  </cols>
  <sheetData>
    <row r="1" spans="1:3" ht="15.6">
      <c r="A1" s="1144" t="s">
        <v>963</v>
      </c>
      <c r="B1" s="1144"/>
      <c r="C1" s="1144"/>
    </row>
    <row r="2" spans="1:3" ht="11.25" customHeight="1">
      <c r="A2" s="205"/>
      <c r="B2" s="205"/>
      <c r="C2" s="205"/>
    </row>
    <row r="3" spans="1:3" ht="11.25" customHeight="1">
      <c r="A3" s="1197" t="s">
        <v>1365</v>
      </c>
      <c r="B3" s="1197"/>
      <c r="C3" s="1197"/>
    </row>
    <row r="4" spans="1:3" ht="11.25" customHeight="1">
      <c r="A4" s="205"/>
      <c r="B4" s="205"/>
      <c r="C4" s="205"/>
    </row>
    <row r="5" spans="1:3" ht="11.25" customHeight="1">
      <c r="A5" s="1196" t="s">
        <v>1486</v>
      </c>
      <c r="B5" s="1196"/>
      <c r="C5" s="1196"/>
    </row>
    <row r="6" spans="1:3">
      <c r="A6" s="771"/>
      <c r="B6" s="874"/>
      <c r="C6" s="874"/>
    </row>
    <row r="7" spans="1:3" ht="11.25" customHeight="1">
      <c r="A7" s="1198" t="s">
        <v>1485</v>
      </c>
      <c r="B7" s="1198"/>
      <c r="C7" s="1198"/>
    </row>
    <row r="8" spans="1:3">
      <c r="A8" s="772"/>
      <c r="B8" s="285"/>
      <c r="C8" s="285"/>
    </row>
    <row r="9" spans="1:3" ht="22.5" customHeight="1">
      <c r="A9" s="1148" t="s">
        <v>1484</v>
      </c>
      <c r="B9" s="1148"/>
      <c r="C9" s="1148"/>
    </row>
    <row r="10" spans="1:3">
      <c r="A10" s="772"/>
      <c r="B10" s="285"/>
      <c r="C10" s="285"/>
    </row>
    <row r="11" spans="1:3" ht="22.5" customHeight="1">
      <c r="A11" s="1148" t="s">
        <v>1487</v>
      </c>
      <c r="B11" s="1148"/>
      <c r="C11" s="1148"/>
    </row>
    <row r="12" spans="1:3">
      <c r="A12" s="869"/>
      <c r="B12" s="345"/>
      <c r="C12" s="345"/>
    </row>
    <row r="13" spans="1:3">
      <c r="A13" s="770" t="s">
        <v>1147</v>
      </c>
      <c r="B13" s="574"/>
      <c r="C13" s="779" t="s">
        <v>740</v>
      </c>
    </row>
    <row r="14" spans="1:3">
      <c r="A14" s="775" t="s">
        <v>925</v>
      </c>
      <c r="B14" s="566"/>
      <c r="C14" s="1039">
        <v>183</v>
      </c>
    </row>
    <row r="15" spans="1:3">
      <c r="A15" s="769" t="s">
        <v>1148</v>
      </c>
      <c r="B15" s="545"/>
      <c r="C15" s="531">
        <v>183</v>
      </c>
    </row>
    <row r="16" spans="1:3">
      <c r="A16" s="869"/>
      <c r="B16" s="232"/>
      <c r="C16" s="319"/>
    </row>
    <row r="17" spans="1:3">
      <c r="A17" s="869"/>
      <c r="B17" s="232"/>
      <c r="C17" s="319"/>
    </row>
    <row r="18" spans="1:3">
      <c r="A18" s="770" t="s">
        <v>1149</v>
      </c>
      <c r="B18" s="574"/>
      <c r="C18" s="779" t="s">
        <v>740</v>
      </c>
    </row>
    <row r="19" spans="1:3">
      <c r="A19" s="1036" t="s">
        <v>1150</v>
      </c>
      <c r="B19" s="565"/>
      <c r="C19" s="564">
        <v>183</v>
      </c>
    </row>
    <row r="20" spans="1:3">
      <c r="A20" s="1035" t="s">
        <v>1151</v>
      </c>
      <c r="B20" s="566"/>
      <c r="C20" s="1039">
        <v>-12</v>
      </c>
    </row>
    <row r="21" spans="1:3">
      <c r="A21" s="769" t="s">
        <v>1152</v>
      </c>
      <c r="B21" s="545"/>
      <c r="C21" s="531">
        <v>171</v>
      </c>
    </row>
    <row r="22" spans="1:3">
      <c r="A22" s="869"/>
      <c r="B22" s="232"/>
      <c r="C22" s="319"/>
    </row>
    <row r="23" spans="1:3">
      <c r="A23" s="869"/>
      <c r="B23" s="232"/>
      <c r="C23" s="319"/>
    </row>
    <row r="24" spans="1:3">
      <c r="A24" s="770" t="s">
        <v>1153</v>
      </c>
      <c r="B24" s="574"/>
      <c r="C24" s="779" t="s">
        <v>740</v>
      </c>
    </row>
    <row r="25" spans="1:3">
      <c r="A25" s="774" t="s">
        <v>310</v>
      </c>
      <c r="B25" s="565"/>
      <c r="C25" s="1040">
        <v>66</v>
      </c>
    </row>
    <row r="26" spans="1:3">
      <c r="A26" s="1036" t="s">
        <v>312</v>
      </c>
      <c r="B26" s="565"/>
      <c r="C26" s="1040">
        <v>2</v>
      </c>
    </row>
    <row r="27" spans="1:3">
      <c r="A27" s="1036" t="s">
        <v>544</v>
      </c>
      <c r="B27" s="565"/>
      <c r="C27" s="1040">
        <v>8</v>
      </c>
    </row>
    <row r="28" spans="1:3">
      <c r="A28" s="1036" t="s">
        <v>1154</v>
      </c>
      <c r="B28" s="565"/>
      <c r="C28" s="1040">
        <v>50</v>
      </c>
    </row>
    <row r="29" spans="1:3">
      <c r="A29" s="774" t="s">
        <v>773</v>
      </c>
      <c r="B29" s="565"/>
      <c r="C29" s="1040">
        <v>2</v>
      </c>
    </row>
    <row r="30" spans="1:3">
      <c r="A30" s="775" t="s">
        <v>550</v>
      </c>
      <c r="B30" s="566"/>
      <c r="C30" s="1041">
        <v>12</v>
      </c>
    </row>
    <row r="31" spans="1:3">
      <c r="A31" s="773" t="s">
        <v>402</v>
      </c>
      <c r="B31" s="565"/>
      <c r="C31" s="1040">
        <v>140</v>
      </c>
    </row>
    <row r="32" spans="1:3">
      <c r="A32" s="866"/>
      <c r="B32" s="565"/>
      <c r="C32" s="1033"/>
    </row>
    <row r="33" spans="1:3">
      <c r="A33" s="774" t="s">
        <v>415</v>
      </c>
      <c r="B33" s="565"/>
      <c r="C33" s="1042">
        <v>3</v>
      </c>
    </row>
    <row r="34" spans="1:3">
      <c r="A34" s="1036" t="s">
        <v>781</v>
      </c>
      <c r="B34" s="565"/>
      <c r="C34" s="1042">
        <v>29</v>
      </c>
    </row>
    <row r="35" spans="1:3">
      <c r="A35" s="865" t="s">
        <v>1155</v>
      </c>
      <c r="B35" s="565"/>
      <c r="C35" s="1040">
        <v>39</v>
      </c>
    </row>
    <row r="36" spans="1:3">
      <c r="A36" s="820" t="s">
        <v>1156</v>
      </c>
      <c r="B36" s="566"/>
      <c r="C36" s="1041">
        <v>13</v>
      </c>
    </row>
    <row r="37" spans="1:3">
      <c r="A37" s="1044" t="s">
        <v>1157</v>
      </c>
      <c r="B37" s="565"/>
      <c r="C37" s="1040">
        <v>83</v>
      </c>
    </row>
    <row r="38" spans="1:3">
      <c r="A38" s="550"/>
      <c r="B38" s="479"/>
      <c r="C38" s="1043"/>
    </row>
    <row r="39" spans="1:3">
      <c r="A39" s="1045" t="s">
        <v>1158</v>
      </c>
      <c r="B39" s="545"/>
      <c r="C39" s="1050">
        <v>57</v>
      </c>
    </row>
    <row r="40" spans="1:3">
      <c r="A40" s="875"/>
      <c r="B40" s="479"/>
      <c r="C40" s="1043"/>
    </row>
    <row r="41" spans="1:3">
      <c r="A41" s="1045" t="s">
        <v>1159</v>
      </c>
      <c r="B41" s="545"/>
      <c r="C41" s="1050">
        <v>113</v>
      </c>
    </row>
    <row r="42" spans="1:3">
      <c r="A42" s="869"/>
      <c r="B42" s="232"/>
      <c r="C42" s="232"/>
    </row>
    <row r="43" spans="1:3" ht="33.75" customHeight="1">
      <c r="A43" s="1148" t="s">
        <v>1508</v>
      </c>
      <c r="B43" s="1148" t="s">
        <v>1530</v>
      </c>
      <c r="C43" s="1148" t="e">
        <v>#REF!</v>
      </c>
    </row>
    <row r="44" spans="1:3">
      <c r="A44" s="1195"/>
      <c r="B44" s="1195"/>
      <c r="C44" s="1195"/>
    </row>
    <row r="45" spans="1:3" ht="33" customHeight="1">
      <c r="A45" s="1148" t="s">
        <v>1509</v>
      </c>
      <c r="B45" s="1148" t="s">
        <v>1510</v>
      </c>
      <c r="C45" s="1148" t="e">
        <v>#REF!</v>
      </c>
    </row>
    <row r="46" spans="1:3">
      <c r="A46" s="1195"/>
      <c r="B46" s="1195"/>
      <c r="C46" s="1195"/>
    </row>
    <row r="47" spans="1:3" ht="31.95" customHeight="1">
      <c r="A47" s="1148" t="s">
        <v>1531</v>
      </c>
      <c r="B47" s="1148" t="s">
        <v>1532</v>
      </c>
      <c r="C47" s="1148" t="e">
        <v>#REF!</v>
      </c>
    </row>
    <row r="48" spans="1:3" ht="11.25" customHeight="1">
      <c r="A48" s="967"/>
      <c r="B48" s="967"/>
      <c r="C48" s="967"/>
    </row>
    <row r="49" spans="1:3" ht="11.25" customHeight="1">
      <c r="A49" s="1194" t="s">
        <v>1217</v>
      </c>
      <c r="B49" s="1194" t="s">
        <v>1217</v>
      </c>
      <c r="C49" s="1194" t="e">
        <v>#REF!</v>
      </c>
    </row>
    <row r="50" spans="1:3" ht="11.25" customHeight="1">
      <c r="A50" s="967"/>
      <c r="B50" s="967"/>
      <c r="C50" s="967"/>
    </row>
    <row r="51" spans="1:3" ht="33.75" customHeight="1">
      <c r="A51" s="1148" t="s">
        <v>1488</v>
      </c>
      <c r="B51" s="1148" t="s">
        <v>1533</v>
      </c>
      <c r="C51" s="1148" t="e">
        <v>#REF!</v>
      </c>
    </row>
    <row r="52" spans="1:3" ht="11.25" customHeight="1">
      <c r="A52" s="1053"/>
      <c r="B52" s="1053"/>
      <c r="C52" s="1053"/>
    </row>
    <row r="53" spans="1:3">
      <c r="A53" s="1195"/>
      <c r="B53" s="1195"/>
      <c r="C53" s="1195"/>
    </row>
    <row r="54" spans="1:3" ht="11.25" customHeight="1">
      <c r="A54" s="1196" t="s">
        <v>1351</v>
      </c>
      <c r="B54" s="1196"/>
      <c r="C54" s="1196"/>
    </row>
    <row r="55" spans="1:3">
      <c r="A55" s="821"/>
      <c r="B55" s="777"/>
      <c r="C55" s="777"/>
    </row>
    <row r="56" spans="1:3">
      <c r="A56" s="1148" t="s">
        <v>1489</v>
      </c>
      <c r="B56" s="1148" t="s">
        <v>1490</v>
      </c>
      <c r="C56" s="1148" t="e">
        <v>#REF!</v>
      </c>
    </row>
    <row r="57" spans="1:3">
      <c r="A57" s="968"/>
      <c r="B57" s="777"/>
      <c r="C57" s="777"/>
    </row>
    <row r="58" spans="1:3" ht="22.5" customHeight="1">
      <c r="A58" s="1148" t="s">
        <v>1491</v>
      </c>
      <c r="B58" s="1148" t="s">
        <v>1492</v>
      </c>
      <c r="C58" s="1148" t="e">
        <v>#REF!</v>
      </c>
    </row>
    <row r="59" spans="1:3">
      <c r="A59" s="822"/>
      <c r="B59" s="778"/>
      <c r="C59" s="778"/>
    </row>
    <row r="60" spans="1:3" ht="22.5" customHeight="1">
      <c r="A60" s="1148" t="s">
        <v>1638</v>
      </c>
      <c r="B60" s="1148" t="s">
        <v>1493</v>
      </c>
      <c r="C60" s="1148" t="e">
        <v>#REF!</v>
      </c>
    </row>
    <row r="61" spans="1:3" ht="11.25" customHeight="1">
      <c r="A61" s="1034"/>
      <c r="B61" s="1034"/>
      <c r="C61" s="1034"/>
    </row>
    <row r="62" spans="1:3" ht="22.5" customHeight="1">
      <c r="A62" s="1148" t="s">
        <v>1645</v>
      </c>
      <c r="B62" s="1148" t="s">
        <v>1494</v>
      </c>
      <c r="C62" s="1148" t="e">
        <v>#REF!</v>
      </c>
    </row>
    <row r="63" spans="1:3">
      <c r="A63" s="822"/>
      <c r="B63" s="778"/>
      <c r="C63" s="778"/>
    </row>
    <row r="64" spans="1:3" ht="22.5" customHeight="1">
      <c r="A64" s="1148" t="s">
        <v>1412</v>
      </c>
      <c r="B64" s="1148"/>
      <c r="C64" s="1148"/>
    </row>
    <row r="65" spans="1:3">
      <c r="A65" s="823"/>
      <c r="B65" s="345"/>
      <c r="C65" s="345"/>
    </row>
    <row r="66" spans="1:3">
      <c r="A66" s="817" t="s">
        <v>1147</v>
      </c>
      <c r="B66" s="574"/>
      <c r="C66" s="779" t="s">
        <v>740</v>
      </c>
    </row>
    <row r="67" spans="1:3">
      <c r="A67" s="820" t="s">
        <v>925</v>
      </c>
      <c r="B67" s="566"/>
      <c r="C67" s="582">
        <v>27.321000000000002</v>
      </c>
    </row>
    <row r="68" spans="1:3">
      <c r="A68" s="816" t="s">
        <v>1148</v>
      </c>
      <c r="B68" s="545"/>
      <c r="C68" s="531">
        <v>27.321000000000002</v>
      </c>
    </row>
    <row r="69" spans="1:3">
      <c r="A69" s="823"/>
      <c r="B69" s="232"/>
      <c r="C69" s="232"/>
    </row>
    <row r="70" spans="1:3">
      <c r="A70" s="823"/>
      <c r="B70" s="232"/>
      <c r="C70" s="232"/>
    </row>
    <row r="71" spans="1:3">
      <c r="A71" s="817" t="s">
        <v>1352</v>
      </c>
      <c r="B71" s="574"/>
      <c r="C71" s="779" t="s">
        <v>740</v>
      </c>
    </row>
    <row r="72" spans="1:3">
      <c r="A72" s="819" t="s">
        <v>1150</v>
      </c>
      <c r="B72" s="565"/>
      <c r="C72" s="564">
        <v>23.321000000000002</v>
      </c>
    </row>
    <row r="73" spans="1:3">
      <c r="A73" s="913" t="s">
        <v>1216</v>
      </c>
      <c r="B73" s="565"/>
      <c r="C73" s="564">
        <v>4</v>
      </c>
    </row>
    <row r="74" spans="1:3">
      <c r="A74" s="820" t="s">
        <v>1151</v>
      </c>
      <c r="B74" s="566"/>
      <c r="C74" s="582">
        <v>-1.385</v>
      </c>
    </row>
    <row r="75" spans="1:3">
      <c r="A75" s="816" t="s">
        <v>1353</v>
      </c>
      <c r="B75" s="545"/>
      <c r="C75" s="531">
        <v>25.936</v>
      </c>
    </row>
    <row r="76" spans="1:3">
      <c r="A76" s="823"/>
      <c r="B76" s="232"/>
      <c r="C76" s="232"/>
    </row>
    <row r="77" spans="1:3">
      <c r="A77" s="823"/>
      <c r="B77" s="232"/>
      <c r="C77" s="232"/>
    </row>
    <row r="78" spans="1:3">
      <c r="A78" s="817" t="s">
        <v>1413</v>
      </c>
      <c r="B78" s="574"/>
      <c r="C78" s="779" t="s">
        <v>740</v>
      </c>
    </row>
    <row r="79" spans="1:3">
      <c r="A79" s="819" t="s">
        <v>310</v>
      </c>
      <c r="B79" s="565"/>
      <c r="C79" s="564">
        <v>9.7910000000000004</v>
      </c>
    </row>
    <row r="80" spans="1:3">
      <c r="A80" s="913" t="s">
        <v>312</v>
      </c>
      <c r="B80" s="565"/>
      <c r="C80" s="564">
        <v>2.0910000000000002</v>
      </c>
    </row>
    <row r="81" spans="1:3">
      <c r="A81" s="1036" t="s">
        <v>544</v>
      </c>
      <c r="B81" s="565"/>
      <c r="C81" s="564">
        <v>0.62</v>
      </c>
    </row>
    <row r="82" spans="1:3">
      <c r="A82" s="819" t="s">
        <v>1154</v>
      </c>
      <c r="B82" s="565"/>
      <c r="C82" s="564">
        <v>5.5910000000000002</v>
      </c>
    </row>
    <row r="83" spans="1:3">
      <c r="A83" s="820" t="s">
        <v>550</v>
      </c>
      <c r="B83" s="566"/>
      <c r="C83" s="582">
        <v>1.3879999999999999</v>
      </c>
    </row>
    <row r="84" spans="1:3">
      <c r="A84" s="818" t="s">
        <v>402</v>
      </c>
      <c r="B84" s="565"/>
      <c r="C84" s="564">
        <v>19.478861999999999</v>
      </c>
    </row>
    <row r="85" spans="1:3">
      <c r="A85" s="819"/>
      <c r="B85" s="565"/>
      <c r="C85" s="564"/>
    </row>
    <row r="86" spans="1:3">
      <c r="A86" s="819" t="s">
        <v>1155</v>
      </c>
      <c r="B86" s="565"/>
      <c r="C86" s="564">
        <v>3.6840000000000002</v>
      </c>
    </row>
    <row r="87" spans="1:3">
      <c r="A87" s="820" t="s">
        <v>1156</v>
      </c>
      <c r="B87" s="566"/>
      <c r="C87" s="582">
        <v>2.724272</v>
      </c>
    </row>
    <row r="88" spans="1:3">
      <c r="A88" s="818" t="s">
        <v>1157</v>
      </c>
      <c r="B88" s="565"/>
      <c r="C88" s="564">
        <v>6.4080000000000004</v>
      </c>
    </row>
    <row r="89" spans="1:3">
      <c r="A89" s="940"/>
      <c r="B89" s="479"/>
      <c r="C89" s="582"/>
    </row>
    <row r="90" spans="1:3">
      <c r="A90" s="939" t="s">
        <v>1158</v>
      </c>
      <c r="B90" s="545"/>
      <c r="C90" s="531">
        <v>13.070861999999998</v>
      </c>
    </row>
    <row r="91" spans="1:3">
      <c r="A91" s="940"/>
      <c r="B91" s="479"/>
      <c r="C91" s="582"/>
    </row>
    <row r="92" spans="1:3">
      <c r="A92" s="939" t="s">
        <v>1159</v>
      </c>
      <c r="B92" s="545"/>
      <c r="C92" s="531">
        <v>12.865138000000002</v>
      </c>
    </row>
    <row r="93" spans="1:3">
      <c r="A93" s="823"/>
      <c r="B93" s="232"/>
      <c r="C93" s="232"/>
    </row>
    <row r="94" spans="1:3" ht="33.75" customHeight="1">
      <c r="A94" s="1148" t="s">
        <v>1495</v>
      </c>
      <c r="B94" s="1148" t="s">
        <v>1534</v>
      </c>
      <c r="C94" s="1148" t="e">
        <v>#REF!</v>
      </c>
    </row>
    <row r="95" spans="1:3">
      <c r="A95" s="1195"/>
      <c r="B95" s="1195"/>
      <c r="C95" s="1195"/>
    </row>
    <row r="96" spans="1:3" ht="11.25" customHeight="1">
      <c r="A96" s="1148" t="s">
        <v>1496</v>
      </c>
      <c r="B96" s="1148" t="s">
        <v>1497</v>
      </c>
      <c r="C96" s="1148" t="e">
        <v>#REF!</v>
      </c>
    </row>
    <row r="97" spans="1:3">
      <c r="A97" s="1195"/>
      <c r="B97" s="1195"/>
      <c r="C97" s="1195"/>
    </row>
    <row r="98" spans="1:3" ht="22.5" customHeight="1">
      <c r="A98" s="1148" t="s">
        <v>1536</v>
      </c>
      <c r="B98" s="1148" t="s">
        <v>1535</v>
      </c>
      <c r="C98" s="1148" t="e">
        <v>#REF!</v>
      </c>
    </row>
    <row r="99" spans="1:3">
      <c r="A99" s="1195"/>
      <c r="B99" s="1195"/>
      <c r="C99" s="1195"/>
    </row>
    <row r="100" spans="1:3">
      <c r="A100" s="1194" t="s">
        <v>1217</v>
      </c>
      <c r="B100" s="1194" t="s">
        <v>1217</v>
      </c>
      <c r="C100" s="1194" t="e">
        <v>#REF!</v>
      </c>
    </row>
    <row r="101" spans="1:3">
      <c r="A101" s="935"/>
      <c r="B101" s="935"/>
      <c r="C101" s="935"/>
    </row>
    <row r="102" spans="1:3" ht="34.5" customHeight="1">
      <c r="A102" s="1148" t="s">
        <v>1498</v>
      </c>
      <c r="B102" s="1148" t="s">
        <v>1537</v>
      </c>
      <c r="C102" s="1148" t="e">
        <v>#REF!</v>
      </c>
    </row>
    <row r="103" spans="1:3" ht="12.75" customHeight="1">
      <c r="A103" s="978"/>
      <c r="B103" s="978"/>
      <c r="C103" s="978"/>
    </row>
    <row r="104" spans="1:3">
      <c r="A104" s="935"/>
      <c r="B104" s="935"/>
      <c r="C104" s="935"/>
    </row>
    <row r="105" spans="1:3" ht="11.25" customHeight="1">
      <c r="A105" s="1197" t="s">
        <v>1253</v>
      </c>
      <c r="B105" s="1197"/>
      <c r="C105" s="1197"/>
    </row>
    <row r="106" spans="1:3" ht="11.25" customHeight="1">
      <c r="A106" s="996"/>
      <c r="B106" s="996"/>
      <c r="C106" s="996"/>
    </row>
    <row r="107" spans="1:3" ht="11.25" customHeight="1">
      <c r="A107" s="1196" t="s">
        <v>1246</v>
      </c>
      <c r="B107" s="1196"/>
      <c r="C107" s="1196"/>
    </row>
    <row r="108" spans="1:3">
      <c r="A108" s="985"/>
      <c r="B108" s="874"/>
      <c r="C108" s="874"/>
    </row>
    <row r="109" spans="1:3" ht="11.25" customHeight="1">
      <c r="A109" s="1198" t="s">
        <v>1664</v>
      </c>
      <c r="B109" s="1198"/>
      <c r="C109" s="1198"/>
    </row>
    <row r="110" spans="1:3">
      <c r="A110" s="986"/>
      <c r="B110" s="285"/>
      <c r="C110" s="285"/>
    </row>
    <row r="111" spans="1:3" ht="22.5" customHeight="1">
      <c r="A111" s="1148" t="s">
        <v>1254</v>
      </c>
      <c r="B111" s="1148"/>
      <c r="C111" s="1148"/>
    </row>
    <row r="112" spans="1:3">
      <c r="A112" s="986"/>
      <c r="B112" s="285"/>
      <c r="C112" s="285"/>
    </row>
    <row r="113" spans="1:3" ht="22.5" customHeight="1">
      <c r="A113" s="1148" t="s">
        <v>1646</v>
      </c>
      <c r="B113" s="1148"/>
      <c r="C113" s="1148"/>
    </row>
    <row r="114" spans="1:3">
      <c r="A114" s="989"/>
      <c r="B114" s="345"/>
      <c r="C114" s="345"/>
    </row>
    <row r="115" spans="1:3">
      <c r="A115" s="980" t="s">
        <v>1647</v>
      </c>
      <c r="B115" s="574"/>
      <c r="C115" s="779" t="s">
        <v>740</v>
      </c>
    </row>
    <row r="116" spans="1:3">
      <c r="A116" s="979" t="s">
        <v>925</v>
      </c>
      <c r="B116" s="566"/>
      <c r="C116" s="582">
        <v>144</v>
      </c>
    </row>
    <row r="117" spans="1:3">
      <c r="A117" s="981" t="s">
        <v>1148</v>
      </c>
      <c r="B117" s="545"/>
      <c r="C117" s="531">
        <v>144</v>
      </c>
    </row>
    <row r="118" spans="1:3">
      <c r="A118" s="989"/>
      <c r="B118" s="232"/>
      <c r="C118" s="232"/>
    </row>
    <row r="119" spans="1:3">
      <c r="A119" s="989"/>
      <c r="B119" s="232"/>
      <c r="C119" s="232"/>
    </row>
    <row r="120" spans="1:3">
      <c r="A120" s="980" t="s">
        <v>1648</v>
      </c>
      <c r="B120" s="574"/>
      <c r="C120" s="779" t="s">
        <v>740</v>
      </c>
    </row>
    <row r="121" spans="1:3">
      <c r="A121" s="979" t="s">
        <v>1150</v>
      </c>
      <c r="B121" s="566"/>
      <c r="C121" s="582">
        <v>144</v>
      </c>
    </row>
    <row r="122" spans="1:3">
      <c r="A122" s="981" t="s">
        <v>1152</v>
      </c>
      <c r="B122" s="545"/>
      <c r="C122" s="531">
        <v>144</v>
      </c>
    </row>
    <row r="123" spans="1:3">
      <c r="A123" s="989"/>
      <c r="B123" s="232"/>
      <c r="C123" s="232"/>
    </row>
    <row r="124" spans="1:3">
      <c r="A124" s="989"/>
      <c r="B124" s="232"/>
      <c r="C124" s="232"/>
    </row>
    <row r="125" spans="1:3">
      <c r="A125" s="980" t="s">
        <v>1649</v>
      </c>
      <c r="B125" s="574"/>
      <c r="C125" s="779" t="s">
        <v>740</v>
      </c>
    </row>
    <row r="126" spans="1:3">
      <c r="A126" s="983" t="s">
        <v>310</v>
      </c>
      <c r="B126" s="565"/>
      <c r="C126" s="564">
        <v>42</v>
      </c>
    </row>
    <row r="127" spans="1:3">
      <c r="A127" s="983" t="s">
        <v>1154</v>
      </c>
      <c r="B127" s="565"/>
      <c r="C127" s="564">
        <v>5</v>
      </c>
    </row>
    <row r="128" spans="1:3">
      <c r="A128" s="979" t="s">
        <v>773</v>
      </c>
      <c r="B128" s="566"/>
      <c r="C128" s="582">
        <v>4</v>
      </c>
    </row>
    <row r="129" spans="1:3">
      <c r="A129" s="982" t="s">
        <v>402</v>
      </c>
      <c r="B129" s="565"/>
      <c r="C129" s="564">
        <v>51</v>
      </c>
    </row>
    <row r="130" spans="1:3">
      <c r="A130" s="977"/>
      <c r="B130" s="565"/>
      <c r="C130" s="564"/>
    </row>
    <row r="131" spans="1:3">
      <c r="A131" s="983" t="s">
        <v>415</v>
      </c>
      <c r="B131" s="565"/>
      <c r="C131" s="564">
        <v>5</v>
      </c>
    </row>
    <row r="132" spans="1:3">
      <c r="A132" s="983" t="s">
        <v>1155</v>
      </c>
      <c r="B132" s="565"/>
      <c r="C132" s="564">
        <v>5</v>
      </c>
    </row>
    <row r="133" spans="1:3">
      <c r="A133" s="979" t="s">
        <v>778</v>
      </c>
      <c r="B133" s="566"/>
      <c r="C133" s="582">
        <v>17</v>
      </c>
    </row>
    <row r="134" spans="1:3">
      <c r="A134" s="982" t="s">
        <v>1157</v>
      </c>
      <c r="B134" s="565"/>
      <c r="C134" s="564">
        <v>27</v>
      </c>
    </row>
    <row r="135" spans="1:3">
      <c r="A135" s="994"/>
      <c r="B135" s="479"/>
      <c r="C135" s="582"/>
    </row>
    <row r="136" spans="1:3">
      <c r="A136" s="981" t="s">
        <v>1158</v>
      </c>
      <c r="B136" s="545"/>
      <c r="C136" s="531">
        <v>24</v>
      </c>
    </row>
    <row r="137" spans="1:3">
      <c r="A137" s="875"/>
      <c r="B137" s="479"/>
      <c r="C137" s="582"/>
    </row>
    <row r="138" spans="1:3">
      <c r="A138" s="981" t="s">
        <v>311</v>
      </c>
      <c r="B138" s="545"/>
      <c r="C138" s="531">
        <v>120</v>
      </c>
    </row>
    <row r="139" spans="1:3">
      <c r="A139" s="989"/>
      <c r="B139" s="232"/>
      <c r="C139" s="232"/>
    </row>
    <row r="140" spans="1:3" ht="33.75" customHeight="1">
      <c r="A140" s="1148" t="s">
        <v>1650</v>
      </c>
      <c r="B140" s="1148" t="s">
        <v>1538</v>
      </c>
      <c r="C140" s="1148" t="e">
        <v>#REF!</v>
      </c>
    </row>
    <row r="141" spans="1:3">
      <c r="A141" s="1195"/>
      <c r="B141" s="1195"/>
      <c r="C141" s="1195"/>
    </row>
    <row r="142" spans="1:3" ht="33.75" customHeight="1">
      <c r="A142" s="1148" t="s">
        <v>1651</v>
      </c>
      <c r="B142" s="1148" t="s">
        <v>1366</v>
      </c>
      <c r="C142" s="1148" t="e">
        <v>#REF!</v>
      </c>
    </row>
    <row r="143" spans="1:3">
      <c r="A143" s="1195"/>
      <c r="B143" s="1195"/>
      <c r="C143" s="1195"/>
    </row>
    <row r="144" spans="1:3" ht="31.95" customHeight="1">
      <c r="A144" s="1148" t="s">
        <v>1255</v>
      </c>
      <c r="B144" s="1148" t="s">
        <v>1367</v>
      </c>
      <c r="C144" s="1148" t="e">
        <v>#REF!</v>
      </c>
    </row>
    <row r="145" spans="1:3" ht="11.25" customHeight="1">
      <c r="A145" s="978"/>
      <c r="B145" s="978"/>
      <c r="C145" s="978"/>
    </row>
    <row r="146" spans="1:3" ht="11.25" customHeight="1">
      <c r="A146" s="1194" t="s">
        <v>1333</v>
      </c>
      <c r="B146" s="1194" t="s">
        <v>1333</v>
      </c>
      <c r="C146" s="1194" t="e">
        <v>#REF!</v>
      </c>
    </row>
    <row r="147" spans="1:3" ht="11.25" customHeight="1">
      <c r="A147" s="978"/>
      <c r="B147" s="978"/>
      <c r="C147" s="978"/>
    </row>
    <row r="148" spans="1:3" ht="33.75" customHeight="1">
      <c r="A148" s="1148" t="s">
        <v>1350</v>
      </c>
      <c r="B148" s="1148" t="s">
        <v>1539</v>
      </c>
      <c r="C148" s="1148" t="e">
        <v>#REF!</v>
      </c>
    </row>
    <row r="149" spans="1:3">
      <c r="A149" s="1195"/>
      <c r="B149" s="1195"/>
      <c r="C149" s="1195"/>
    </row>
    <row r="150" spans="1:3" ht="11.25" customHeight="1">
      <c r="A150" s="1196" t="s">
        <v>1351</v>
      </c>
      <c r="B150" s="1196"/>
      <c r="C150" s="1196"/>
    </row>
    <row r="151" spans="1:3">
      <c r="A151" s="985"/>
      <c r="B151" s="777"/>
      <c r="C151" s="777"/>
    </row>
    <row r="152" spans="1:3">
      <c r="A152" s="1148" t="s">
        <v>1410</v>
      </c>
      <c r="B152" s="1148" t="s">
        <v>1368</v>
      </c>
      <c r="C152" s="1148" t="e">
        <v>#REF!</v>
      </c>
    </row>
    <row r="153" spans="1:3">
      <c r="A153" s="985"/>
      <c r="B153" s="777"/>
      <c r="C153" s="777"/>
    </row>
    <row r="154" spans="1:3" ht="22.5" customHeight="1">
      <c r="A154" s="1148" t="s">
        <v>1334</v>
      </c>
      <c r="B154" s="1148" t="s">
        <v>1336</v>
      </c>
      <c r="C154" s="1148" t="e">
        <v>#REF!</v>
      </c>
    </row>
    <row r="155" spans="1:3">
      <c r="A155" s="986"/>
      <c r="B155" s="778"/>
      <c r="C155" s="778"/>
    </row>
    <row r="156" spans="1:3" ht="43.2" customHeight="1">
      <c r="A156" s="1148" t="s">
        <v>1411</v>
      </c>
      <c r="B156" s="1148" t="s">
        <v>1369</v>
      </c>
      <c r="C156" s="1148" t="e">
        <v>#REF!</v>
      </c>
    </row>
    <row r="157" spans="1:3">
      <c r="A157" s="986"/>
      <c r="B157" s="778"/>
      <c r="C157" s="778"/>
    </row>
    <row r="158" spans="1:3" ht="22.5" customHeight="1">
      <c r="A158" s="1148" t="s">
        <v>1652</v>
      </c>
      <c r="B158" s="1148"/>
      <c r="C158" s="1148"/>
    </row>
    <row r="159" spans="1:3">
      <c r="A159" s="988"/>
      <c r="B159" s="345"/>
      <c r="C159" s="345"/>
    </row>
    <row r="160" spans="1:3">
      <c r="A160" s="980" t="s">
        <v>1647</v>
      </c>
      <c r="B160" s="574"/>
      <c r="C160" s="779" t="s">
        <v>740</v>
      </c>
    </row>
    <row r="161" spans="1:3">
      <c r="A161" s="979" t="s">
        <v>925</v>
      </c>
      <c r="B161" s="566"/>
      <c r="C161" s="582">
        <v>63</v>
      </c>
    </row>
    <row r="162" spans="1:3">
      <c r="A162" s="981" t="s">
        <v>1148</v>
      </c>
      <c r="B162" s="545"/>
      <c r="C162" s="531">
        <v>63</v>
      </c>
    </row>
    <row r="163" spans="1:3">
      <c r="A163" s="988"/>
      <c r="B163" s="232"/>
      <c r="C163" s="232"/>
    </row>
    <row r="164" spans="1:3">
      <c r="A164" s="988"/>
      <c r="B164" s="232"/>
      <c r="C164" s="232"/>
    </row>
    <row r="165" spans="1:3">
      <c r="A165" s="980" t="s">
        <v>1653</v>
      </c>
      <c r="B165" s="574"/>
      <c r="C165" s="779" t="s">
        <v>740</v>
      </c>
    </row>
    <row r="166" spans="1:3">
      <c r="A166" s="983" t="s">
        <v>1150</v>
      </c>
      <c r="B166" s="565"/>
      <c r="C166" s="564">
        <v>53</v>
      </c>
    </row>
    <row r="167" spans="1:3">
      <c r="A167" s="983" t="s">
        <v>1216</v>
      </c>
      <c r="B167" s="565"/>
      <c r="C167" s="564">
        <v>9</v>
      </c>
    </row>
    <row r="168" spans="1:3">
      <c r="A168" s="979" t="s">
        <v>1151</v>
      </c>
      <c r="B168" s="566"/>
      <c r="C168" s="582">
        <v>-10</v>
      </c>
    </row>
    <row r="169" spans="1:3">
      <c r="A169" s="981" t="s">
        <v>1353</v>
      </c>
      <c r="B169" s="545"/>
      <c r="C169" s="531">
        <v>52</v>
      </c>
    </row>
    <row r="170" spans="1:3">
      <c r="A170" s="988"/>
      <c r="B170" s="232"/>
      <c r="C170" s="232"/>
    </row>
    <row r="171" spans="1:3">
      <c r="A171" s="988"/>
      <c r="B171" s="232"/>
      <c r="C171" s="232"/>
    </row>
    <row r="172" spans="1:3">
      <c r="A172" s="980" t="s">
        <v>1654</v>
      </c>
      <c r="B172" s="574"/>
      <c r="C172" s="779" t="s">
        <v>740</v>
      </c>
    </row>
    <row r="173" spans="1:3">
      <c r="A173" s="983" t="s">
        <v>310</v>
      </c>
      <c r="B173" s="565"/>
      <c r="C173" s="564">
        <v>17</v>
      </c>
    </row>
    <row r="174" spans="1:3">
      <c r="A174" s="983" t="s">
        <v>544</v>
      </c>
      <c r="B174" s="565"/>
      <c r="C174" s="564">
        <v>1</v>
      </c>
    </row>
    <row r="175" spans="1:3">
      <c r="A175" s="983" t="s">
        <v>1154</v>
      </c>
      <c r="B175" s="565"/>
      <c r="C175" s="564">
        <v>14</v>
      </c>
    </row>
    <row r="176" spans="1:3">
      <c r="A176" s="979" t="s">
        <v>550</v>
      </c>
      <c r="B176" s="566"/>
      <c r="C176" s="582">
        <v>10</v>
      </c>
    </row>
    <row r="177" spans="1:3">
      <c r="A177" s="982" t="s">
        <v>402</v>
      </c>
      <c r="B177" s="565"/>
      <c r="C177" s="564">
        <v>43</v>
      </c>
    </row>
    <row r="178" spans="1:3">
      <c r="A178" s="983"/>
      <c r="B178" s="565"/>
      <c r="C178" s="564"/>
    </row>
    <row r="179" spans="1:3">
      <c r="A179" s="983" t="s">
        <v>415</v>
      </c>
      <c r="B179" s="565"/>
      <c r="C179" s="564">
        <v>1</v>
      </c>
    </row>
    <row r="180" spans="1:3">
      <c r="A180" s="983" t="s">
        <v>1155</v>
      </c>
      <c r="B180" s="565"/>
      <c r="C180" s="564">
        <v>9</v>
      </c>
    </row>
    <row r="181" spans="1:3">
      <c r="A181" s="983" t="s">
        <v>399</v>
      </c>
      <c r="B181" s="565"/>
      <c r="C181" s="564">
        <v>4</v>
      </c>
    </row>
    <row r="182" spans="1:3">
      <c r="A182" s="979" t="s">
        <v>1156</v>
      </c>
      <c r="B182" s="566"/>
      <c r="C182" s="582">
        <v>4</v>
      </c>
    </row>
    <row r="183" spans="1:3">
      <c r="A183" s="982" t="s">
        <v>1157</v>
      </c>
      <c r="B183" s="565"/>
      <c r="C183" s="564">
        <v>17</v>
      </c>
    </row>
    <row r="184" spans="1:3">
      <c r="A184" s="979"/>
      <c r="B184" s="479"/>
      <c r="C184" s="582"/>
    </row>
    <row r="185" spans="1:3">
      <c r="A185" s="981" t="s">
        <v>1158</v>
      </c>
      <c r="B185" s="545"/>
      <c r="C185" s="531">
        <v>26</v>
      </c>
    </row>
    <row r="186" spans="1:3">
      <c r="A186" s="979"/>
      <c r="B186" s="479"/>
      <c r="C186" s="582"/>
    </row>
    <row r="187" spans="1:3">
      <c r="A187" s="981" t="s">
        <v>311</v>
      </c>
      <c r="B187" s="545"/>
      <c r="C187" s="531">
        <v>37</v>
      </c>
    </row>
    <row r="188" spans="1:3">
      <c r="A188" s="988"/>
      <c r="B188" s="232"/>
      <c r="C188" s="232"/>
    </row>
    <row r="189" spans="1:3" ht="33.75" customHeight="1">
      <c r="A189" s="1148" t="s">
        <v>1655</v>
      </c>
      <c r="B189" s="1148" t="s">
        <v>1540</v>
      </c>
      <c r="C189" s="1148" t="e">
        <v>#REF!</v>
      </c>
    </row>
    <row r="190" spans="1:3">
      <c r="A190" s="1195"/>
      <c r="B190" s="1195"/>
      <c r="C190" s="1195"/>
    </row>
    <row r="191" spans="1:3" ht="45" customHeight="1">
      <c r="A191" s="1148" t="s">
        <v>1656</v>
      </c>
      <c r="B191" s="1148" t="s">
        <v>1541</v>
      </c>
      <c r="C191" s="1148" t="e">
        <v>#REF!</v>
      </c>
    </row>
    <row r="192" spans="1:3">
      <c r="A192" s="1195"/>
      <c r="B192" s="1195"/>
      <c r="C192" s="1195"/>
    </row>
    <row r="193" spans="1:3" ht="30.6" customHeight="1">
      <c r="A193" s="1148" t="s">
        <v>1335</v>
      </c>
      <c r="B193" s="1148" t="s">
        <v>1337</v>
      </c>
      <c r="C193" s="1148" t="e">
        <v>#REF!</v>
      </c>
    </row>
    <row r="194" spans="1:3">
      <c r="A194" s="1195"/>
      <c r="B194" s="1195"/>
      <c r="C194" s="1195"/>
    </row>
    <row r="195" spans="1:3">
      <c r="A195" s="1194" t="s">
        <v>1217</v>
      </c>
      <c r="B195" s="1194" t="s">
        <v>1217</v>
      </c>
      <c r="C195" s="1194" t="e">
        <v>#REF!</v>
      </c>
    </row>
    <row r="196" spans="1:3">
      <c r="A196" s="989"/>
      <c r="B196" s="989"/>
      <c r="C196" s="989"/>
    </row>
    <row r="197" spans="1:3" ht="34.5" customHeight="1">
      <c r="A197" s="1148" t="s">
        <v>1414</v>
      </c>
      <c r="B197" s="1148" t="s">
        <v>1542</v>
      </c>
      <c r="C197" s="1148" t="e">
        <v>#REF!</v>
      </c>
    </row>
  </sheetData>
  <mergeCells count="54">
    <mergeCell ref="A62:C62"/>
    <mergeCell ref="A197:C197"/>
    <mergeCell ref="A143:C143"/>
    <mergeCell ref="A158:C158"/>
    <mergeCell ref="A193:C193"/>
    <mergeCell ref="A194:C194"/>
    <mergeCell ref="A195:C195"/>
    <mergeCell ref="A154:C154"/>
    <mergeCell ref="A191:C191"/>
    <mergeCell ref="A192:C192"/>
    <mergeCell ref="A156:C156"/>
    <mergeCell ref="A189:C189"/>
    <mergeCell ref="A190:C190"/>
    <mergeCell ref="A148:C148"/>
    <mergeCell ref="A149:C149"/>
    <mergeCell ref="A150:C150"/>
    <mergeCell ref="A152:C152"/>
    <mergeCell ref="A105:C105"/>
    <mergeCell ref="A107:C107"/>
    <mergeCell ref="A109:C109"/>
    <mergeCell ref="A111:C111"/>
    <mergeCell ref="A113:C113"/>
    <mergeCell ref="A144:C144"/>
    <mergeCell ref="A146:C146"/>
    <mergeCell ref="A140:C140"/>
    <mergeCell ref="A141:C141"/>
    <mergeCell ref="A142:C142"/>
    <mergeCell ref="A56:C56"/>
    <mergeCell ref="A49:C49"/>
    <mergeCell ref="A51:C51"/>
    <mergeCell ref="A1:C1"/>
    <mergeCell ref="A5:C5"/>
    <mergeCell ref="A3:C3"/>
    <mergeCell ref="A43:C43"/>
    <mergeCell ref="A45:C45"/>
    <mergeCell ref="A7:C7"/>
    <mergeCell ref="A9:C9"/>
    <mergeCell ref="A11:C11"/>
    <mergeCell ref="A100:C100"/>
    <mergeCell ref="A102:C102"/>
    <mergeCell ref="A47:C47"/>
    <mergeCell ref="A44:C44"/>
    <mergeCell ref="A46:C46"/>
    <mergeCell ref="A53:C53"/>
    <mergeCell ref="A54:C54"/>
    <mergeCell ref="A58:C58"/>
    <mergeCell ref="A99:C99"/>
    <mergeCell ref="A97:C97"/>
    <mergeCell ref="A98:C98"/>
    <mergeCell ref="A60:C60"/>
    <mergeCell ref="A64:C64"/>
    <mergeCell ref="A94:C94"/>
    <mergeCell ref="A95:C95"/>
    <mergeCell ref="A96:C96"/>
  </mergeCells>
  <phoneticPr fontId="0" type="noConversion"/>
  <pageMargins left="0.75" right="0.75" top="1" bottom="1" header="0.5" footer="0.5"/>
  <pageSetup scale="77" orientation="portrait" r:id="rId1"/>
  <headerFooter alignWithMargins="0"/>
  <rowBreaks count="3" manualBreakCount="3">
    <brk id="65" max="2" man="1"/>
    <brk id="124" max="2" man="1"/>
    <brk id="188" max="2" man="1"/>
  </rowBreak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dimension ref="A1:C19"/>
  <sheetViews>
    <sheetView zoomScaleNormal="100" workbookViewId="0">
      <selection sqref="A1:C1"/>
    </sheetView>
  </sheetViews>
  <sheetFormatPr defaultColWidth="8.7109375" defaultRowHeight="10.199999999999999"/>
  <cols>
    <col min="1" max="1" width="90" style="863" customWidth="1"/>
    <col min="2" max="3" width="20" style="863" customWidth="1"/>
    <col min="4" max="17" width="3.7109375" style="1079" customWidth="1"/>
    <col min="18" max="16384" width="8.7109375" style="1079"/>
  </cols>
  <sheetData>
    <row r="1" spans="1:3" ht="15.6">
      <c r="A1" s="1151" t="s">
        <v>1172</v>
      </c>
      <c r="B1" s="1151"/>
      <c r="C1" s="1151"/>
    </row>
    <row r="2" spans="1:3" ht="11.25" customHeight="1">
      <c r="A2" s="1051"/>
      <c r="B2" s="1051"/>
      <c r="C2" s="1051"/>
    </row>
    <row r="3" spans="1:3" ht="11.25" customHeight="1">
      <c r="A3" s="1145" t="s">
        <v>1370</v>
      </c>
      <c r="B3" s="1145"/>
      <c r="C3" s="1145"/>
    </row>
    <row r="4" spans="1:3" ht="11.25" customHeight="1">
      <c r="A4" s="1051"/>
      <c r="B4" s="1051"/>
      <c r="C4" s="1051"/>
    </row>
    <row r="5" spans="1:3" ht="11.25" customHeight="1">
      <c r="A5" s="1200" t="s">
        <v>1525</v>
      </c>
      <c r="B5" s="1200"/>
      <c r="C5" s="1200"/>
    </row>
    <row r="6" spans="1:3" ht="11.25" customHeight="1">
      <c r="A6" s="1051"/>
      <c r="B6" s="1051"/>
      <c r="C6" s="1051"/>
    </row>
    <row r="7" spans="1:3" ht="56.25" customHeight="1">
      <c r="A7" s="1201" t="s">
        <v>1639</v>
      </c>
      <c r="B7" s="1201"/>
      <c r="C7" s="1201"/>
    </row>
    <row r="8" spans="1:3" ht="11.25" customHeight="1">
      <c r="A8" s="1051"/>
      <c r="B8" s="1051"/>
      <c r="C8" s="1051"/>
    </row>
    <row r="9" spans="1:3" s="1106" customFormat="1" ht="11.25" customHeight="1">
      <c r="A9" s="1200" t="s">
        <v>1526</v>
      </c>
      <c r="B9" s="1200"/>
      <c r="C9" s="1200"/>
    </row>
    <row r="10" spans="1:3" ht="11.25" customHeight="1">
      <c r="A10" s="1051"/>
      <c r="B10" s="1051"/>
      <c r="C10" s="1051"/>
    </row>
    <row r="11" spans="1:3" ht="22.5" customHeight="1">
      <c r="A11" s="1201" t="s">
        <v>1527</v>
      </c>
      <c r="B11" s="1201"/>
      <c r="C11" s="1201"/>
    </row>
    <row r="12" spans="1:3" ht="11.25" customHeight="1">
      <c r="A12" s="1051"/>
      <c r="B12" s="1051"/>
      <c r="C12" s="1051"/>
    </row>
    <row r="13" spans="1:3" ht="11.25" customHeight="1">
      <c r="A13" s="1051"/>
      <c r="B13" s="1051"/>
      <c r="C13" s="1051"/>
    </row>
    <row r="14" spans="1:3" ht="11.25" customHeight="1">
      <c r="A14" s="1145" t="s">
        <v>1251</v>
      </c>
      <c r="B14" s="1145"/>
      <c r="C14" s="1145"/>
    </row>
    <row r="15" spans="1:3" ht="11.25" customHeight="1">
      <c r="A15" s="1051"/>
      <c r="B15" s="1051"/>
      <c r="C15" s="1051"/>
    </row>
    <row r="16" spans="1:3" ht="11.25" customHeight="1">
      <c r="A16" s="1186" t="s">
        <v>1252</v>
      </c>
      <c r="B16" s="1186"/>
      <c r="C16" s="1186"/>
    </row>
    <row r="17" spans="1:3" ht="11.25" customHeight="1">
      <c r="A17" s="1051"/>
      <c r="B17" s="1051"/>
      <c r="C17" s="1051"/>
    </row>
    <row r="18" spans="1:3" ht="11.25" customHeight="1">
      <c r="A18" s="1199"/>
      <c r="B18" s="1199"/>
      <c r="C18" s="1199"/>
    </row>
    <row r="19" spans="1:3" ht="11.25" customHeight="1">
      <c r="A19" s="862"/>
      <c r="B19" s="232"/>
      <c r="C19" s="232"/>
    </row>
  </sheetData>
  <mergeCells count="9">
    <mergeCell ref="A18:C18"/>
    <mergeCell ref="A16:C16"/>
    <mergeCell ref="A1:C1"/>
    <mergeCell ref="A3:C3"/>
    <mergeCell ref="A14:C14"/>
    <mergeCell ref="A5:C5"/>
    <mergeCell ref="A7:C7"/>
    <mergeCell ref="A9:C9"/>
    <mergeCell ref="A11:C11"/>
  </mergeCells>
  <pageMargins left="0.75" right="0.75" top="1" bottom="1" header="0.5" footer="0.5"/>
  <pageSetup scale="7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Q64"/>
  <sheetViews>
    <sheetView zoomScaleNormal="100" workbookViewId="0">
      <selection sqref="A1:D1"/>
    </sheetView>
  </sheetViews>
  <sheetFormatPr defaultColWidth="8.7109375" defaultRowHeight="10.199999999999999"/>
  <cols>
    <col min="1" max="1" width="2.42578125" style="243" customWidth="1"/>
    <col min="2" max="2" width="87.42578125" style="225" customWidth="1"/>
    <col min="3" max="4" width="20" style="232" customWidth="1"/>
    <col min="5" max="17" width="3.7109375" style="205" customWidth="1"/>
    <col min="18" max="16384" width="8.7109375" style="1079"/>
  </cols>
  <sheetData>
    <row r="1" spans="1:17" ht="15.75" customHeight="1">
      <c r="A1" s="1144" t="s">
        <v>1470</v>
      </c>
      <c r="B1" s="1144"/>
      <c r="C1" s="1144"/>
      <c r="D1" s="1144"/>
    </row>
    <row r="2" spans="1:17" ht="11.25" customHeight="1">
      <c r="A2" s="543"/>
      <c r="B2" s="220"/>
      <c r="C2" s="352"/>
      <c r="D2" s="352"/>
    </row>
    <row r="3" spans="1:17" ht="11.25" customHeight="1">
      <c r="A3" s="1204" t="s">
        <v>1457</v>
      </c>
      <c r="B3" s="1204"/>
      <c r="C3" s="1204"/>
      <c r="D3" s="1204"/>
      <c r="E3" s="1012"/>
      <c r="F3" s="1012"/>
      <c r="G3" s="1012"/>
      <c r="H3" s="1012"/>
      <c r="I3" s="1012"/>
      <c r="J3" s="1012"/>
      <c r="K3" s="1012"/>
      <c r="L3" s="1012"/>
      <c r="M3" s="1012"/>
      <c r="N3" s="1012"/>
      <c r="O3" s="1012"/>
      <c r="P3" s="1012"/>
      <c r="Q3" s="1012"/>
    </row>
    <row r="4" spans="1:17" ht="11.25" customHeight="1">
      <c r="A4" s="1029"/>
      <c r="B4" s="1029"/>
      <c r="C4" s="1029"/>
      <c r="D4" s="1029"/>
      <c r="E4" s="1028"/>
      <c r="F4" s="1028"/>
      <c r="G4" s="1028"/>
      <c r="H4" s="1028"/>
      <c r="I4" s="1028"/>
      <c r="J4" s="1028"/>
      <c r="K4" s="1028"/>
      <c r="L4" s="1028"/>
      <c r="M4" s="1028"/>
      <c r="N4" s="1028"/>
      <c r="O4" s="1028"/>
      <c r="P4" s="1028"/>
      <c r="Q4" s="1028"/>
    </row>
    <row r="5" spans="1:17">
      <c r="A5" s="1028"/>
      <c r="B5" s="1028"/>
      <c r="C5" s="1028"/>
      <c r="D5" s="1028"/>
    </row>
    <row r="6" spans="1:17">
      <c r="A6" s="1202" t="s">
        <v>1458</v>
      </c>
      <c r="B6" s="1202"/>
      <c r="C6" s="1202"/>
      <c r="D6" s="1202"/>
    </row>
    <row r="7" spans="1:17" ht="11.25" customHeight="1">
      <c r="A7" s="1028"/>
      <c r="B7" s="1028"/>
      <c r="C7" s="1028"/>
      <c r="D7" s="1028"/>
    </row>
    <row r="8" spans="1:17" ht="11.25" customHeight="1">
      <c r="A8" s="1145" t="s">
        <v>740</v>
      </c>
      <c r="B8" s="1145"/>
      <c r="C8" s="662">
        <v>2018</v>
      </c>
      <c r="D8" s="525">
        <v>2017</v>
      </c>
    </row>
    <row r="9" spans="1:17" ht="11.25" customHeight="1">
      <c r="A9" s="1203" t="s">
        <v>1459</v>
      </c>
      <c r="B9" s="1203" t="s">
        <v>1459</v>
      </c>
      <c r="C9" s="624">
        <v>1145</v>
      </c>
      <c r="D9" s="432">
        <v>1149</v>
      </c>
    </row>
    <row r="10" spans="1:17" ht="11.25" customHeight="1">
      <c r="A10" s="1121" t="s">
        <v>1460</v>
      </c>
      <c r="B10" s="1121"/>
      <c r="C10" s="624">
        <v>557</v>
      </c>
      <c r="D10" s="432">
        <v>567</v>
      </c>
    </row>
    <row r="11" spans="1:17" ht="11.25" customHeight="1">
      <c r="A11" s="1121" t="s">
        <v>1461</v>
      </c>
      <c r="B11" s="1121"/>
      <c r="C11" s="621">
        <v>2992</v>
      </c>
      <c r="D11" s="434">
        <v>2785</v>
      </c>
    </row>
    <row r="12" spans="1:17" ht="11.25" customHeight="1">
      <c r="A12" s="1118" t="s">
        <v>1462</v>
      </c>
      <c r="B12" s="1118"/>
      <c r="C12" s="625">
        <v>480</v>
      </c>
      <c r="D12" s="1031">
        <v>410</v>
      </c>
    </row>
    <row r="13" spans="1:17" ht="11.25" customHeight="1">
      <c r="A13" s="1177" t="s">
        <v>620</v>
      </c>
      <c r="B13" s="1177"/>
      <c r="C13" s="1032">
        <v>5174</v>
      </c>
      <c r="D13" s="1030">
        <v>4911</v>
      </c>
    </row>
    <row r="14" spans="1:17" ht="9" customHeight="1">
      <c r="A14" s="1027"/>
      <c r="B14" s="1027"/>
      <c r="C14" s="1027"/>
      <c r="D14" s="1027"/>
    </row>
    <row r="15" spans="1:17" ht="11.25" customHeight="1"/>
    <row r="16" spans="1:17">
      <c r="A16" s="1202" t="s">
        <v>1463</v>
      </c>
      <c r="B16" s="1202"/>
      <c r="C16" s="1202"/>
      <c r="D16" s="1202"/>
    </row>
    <row r="17" spans="1:4">
      <c r="B17" s="243"/>
      <c r="C17" s="243"/>
      <c r="D17" s="243"/>
    </row>
    <row r="18" spans="1:4">
      <c r="A18" s="1145" t="s">
        <v>740</v>
      </c>
      <c r="B18" s="1145"/>
      <c r="C18" s="662">
        <v>2018</v>
      </c>
      <c r="D18" s="525">
        <v>2017</v>
      </c>
    </row>
    <row r="19" spans="1:4" ht="11.25" customHeight="1">
      <c r="A19" s="1203" t="s">
        <v>1464</v>
      </c>
      <c r="B19" s="1203" t="s">
        <v>1464</v>
      </c>
      <c r="C19" s="624">
        <v>3740</v>
      </c>
      <c r="D19" s="432">
        <v>3555</v>
      </c>
    </row>
    <row r="20" spans="1:4" ht="11.25" customHeight="1">
      <c r="A20" s="1118" t="s">
        <v>1465</v>
      </c>
      <c r="B20" s="1118"/>
      <c r="C20" s="625">
        <v>1434</v>
      </c>
      <c r="D20" s="1031">
        <v>1356</v>
      </c>
    </row>
    <row r="21" spans="1:4" ht="11.25" customHeight="1">
      <c r="A21" s="1177" t="s">
        <v>620</v>
      </c>
      <c r="B21" s="1177"/>
      <c r="C21" s="1032">
        <v>5174</v>
      </c>
      <c r="D21" s="1030">
        <v>4911</v>
      </c>
    </row>
    <row r="22" spans="1:4">
      <c r="B22" s="243"/>
      <c r="C22" s="243"/>
      <c r="D22" s="243"/>
    </row>
    <row r="23" spans="1:4">
      <c r="B23" s="243"/>
      <c r="C23" s="243"/>
      <c r="D23" s="243"/>
    </row>
    <row r="24" spans="1:4" ht="20.7" customHeight="1">
      <c r="A24" s="1131" t="s">
        <v>1466</v>
      </c>
      <c r="B24" s="1131"/>
      <c r="C24" s="1131"/>
      <c r="D24" s="1131"/>
    </row>
    <row r="25" spans="1:4">
      <c r="B25" s="243"/>
      <c r="C25" s="243"/>
      <c r="D25" s="243"/>
    </row>
    <row r="26" spans="1:4" ht="20.7" customHeight="1">
      <c r="A26" s="1131" t="s">
        <v>1467</v>
      </c>
      <c r="B26" s="1131"/>
      <c r="C26" s="1131"/>
      <c r="D26" s="1131"/>
    </row>
    <row r="27" spans="1:4">
      <c r="B27" s="243"/>
      <c r="C27" s="243"/>
      <c r="D27" s="243"/>
    </row>
    <row r="28" spans="1:4" ht="33.75" customHeight="1">
      <c r="A28" s="1131" t="s">
        <v>1468</v>
      </c>
      <c r="B28" s="1131"/>
      <c r="C28" s="1131"/>
      <c r="D28" s="1131"/>
    </row>
    <row r="29" spans="1:4">
      <c r="B29" s="243"/>
      <c r="C29" s="243"/>
      <c r="D29" s="243"/>
    </row>
    <row r="30" spans="1:4">
      <c r="A30" s="1131" t="s">
        <v>1469</v>
      </c>
      <c r="B30" s="1131"/>
      <c r="C30" s="1131"/>
      <c r="D30" s="1131"/>
    </row>
    <row r="31" spans="1:4">
      <c r="B31" s="243"/>
      <c r="C31" s="243"/>
      <c r="D31" s="243"/>
    </row>
    <row r="32" spans="1:4">
      <c r="B32" s="243"/>
      <c r="C32" s="243"/>
      <c r="D32" s="243"/>
    </row>
    <row r="33" spans="2:4">
      <c r="B33" s="243"/>
      <c r="C33" s="243"/>
      <c r="D33" s="243"/>
    </row>
    <row r="34" spans="2:4">
      <c r="B34" s="243"/>
      <c r="C34" s="243"/>
      <c r="D34" s="243"/>
    </row>
    <row r="35" spans="2:4">
      <c r="B35" s="243"/>
      <c r="C35" s="243"/>
      <c r="D35" s="243"/>
    </row>
    <row r="36" spans="2:4">
      <c r="B36" s="243"/>
      <c r="C36" s="243"/>
      <c r="D36" s="243"/>
    </row>
    <row r="37" spans="2:4">
      <c r="B37" s="243"/>
      <c r="C37" s="243"/>
      <c r="D37" s="243"/>
    </row>
    <row r="38" spans="2:4">
      <c r="B38" s="243"/>
      <c r="C38" s="243"/>
      <c r="D38" s="243"/>
    </row>
    <row r="39" spans="2:4">
      <c r="B39" s="243"/>
      <c r="C39" s="243"/>
      <c r="D39" s="243"/>
    </row>
    <row r="40" spans="2:4">
      <c r="B40" s="243"/>
      <c r="C40" s="243"/>
      <c r="D40" s="243"/>
    </row>
    <row r="41" spans="2:4">
      <c r="B41" s="243"/>
      <c r="C41" s="243"/>
      <c r="D41" s="243"/>
    </row>
    <row r="42" spans="2:4">
      <c r="B42" s="243"/>
      <c r="C42" s="243"/>
      <c r="D42" s="243"/>
    </row>
    <row r="43" spans="2:4">
      <c r="B43" s="243"/>
      <c r="C43" s="243"/>
      <c r="D43" s="243"/>
    </row>
    <row r="44" spans="2:4">
      <c r="B44" s="243"/>
      <c r="C44" s="243"/>
      <c r="D44" s="243"/>
    </row>
    <row r="45" spans="2:4">
      <c r="B45" s="243"/>
      <c r="C45" s="243"/>
      <c r="D45" s="243"/>
    </row>
    <row r="46" spans="2:4">
      <c r="B46" s="243"/>
      <c r="C46" s="243"/>
      <c r="D46" s="243"/>
    </row>
    <row r="47" spans="2:4">
      <c r="B47" s="243"/>
      <c r="C47" s="243"/>
      <c r="D47" s="243"/>
    </row>
    <row r="48" spans="2:4">
      <c r="B48" s="243"/>
      <c r="C48" s="243"/>
      <c r="D48" s="243"/>
    </row>
    <row r="49" spans="2:4">
      <c r="B49" s="243"/>
      <c r="C49" s="243"/>
      <c r="D49" s="243"/>
    </row>
    <row r="50" spans="2:4">
      <c r="B50" s="243"/>
      <c r="C50" s="243"/>
      <c r="D50" s="243"/>
    </row>
    <row r="51" spans="2:4">
      <c r="B51" s="243"/>
      <c r="C51" s="243"/>
      <c r="D51" s="243"/>
    </row>
    <row r="52" spans="2:4">
      <c r="B52" s="243"/>
      <c r="C52" s="243"/>
      <c r="D52" s="243"/>
    </row>
    <row r="53" spans="2:4">
      <c r="B53" s="243"/>
      <c r="C53" s="243"/>
      <c r="D53" s="243"/>
    </row>
    <row r="54" spans="2:4">
      <c r="B54" s="243"/>
      <c r="C54" s="243"/>
      <c r="D54" s="243"/>
    </row>
    <row r="55" spans="2:4">
      <c r="B55" s="243"/>
      <c r="C55" s="243"/>
      <c r="D55" s="243"/>
    </row>
    <row r="56" spans="2:4">
      <c r="B56" s="243"/>
      <c r="C56" s="243"/>
      <c r="D56" s="243"/>
    </row>
    <row r="57" spans="2:4">
      <c r="B57" s="243"/>
      <c r="C57" s="243"/>
      <c r="D57" s="243"/>
    </row>
    <row r="58" spans="2:4">
      <c r="B58" s="243"/>
      <c r="C58" s="243"/>
      <c r="D58" s="243"/>
    </row>
    <row r="59" spans="2:4">
      <c r="B59" s="243"/>
      <c r="C59" s="243"/>
      <c r="D59" s="243"/>
    </row>
    <row r="60" spans="2:4">
      <c r="B60" s="243"/>
      <c r="C60" s="243"/>
      <c r="D60" s="243"/>
    </row>
    <row r="61" spans="2:4">
      <c r="B61" s="243"/>
      <c r="C61" s="243"/>
      <c r="D61" s="243"/>
    </row>
    <row r="62" spans="2:4">
      <c r="B62" s="243"/>
      <c r="C62" s="243"/>
      <c r="D62" s="243"/>
    </row>
    <row r="63" spans="2:4">
      <c r="B63" s="243"/>
      <c r="C63" s="243"/>
      <c r="D63" s="243"/>
    </row>
    <row r="64" spans="2:4">
      <c r="B64" s="243"/>
      <c r="C64" s="243"/>
      <c r="D64" s="243"/>
    </row>
  </sheetData>
  <mergeCells count="18">
    <mergeCell ref="A11:B11"/>
    <mergeCell ref="A30:D30"/>
    <mergeCell ref="A24:D24"/>
    <mergeCell ref="A26:D26"/>
    <mergeCell ref="A28:D28"/>
    <mergeCell ref="A16:D16"/>
    <mergeCell ref="A18:B18"/>
    <mergeCell ref="A19:B19"/>
    <mergeCell ref="A20:B20"/>
    <mergeCell ref="A21:B21"/>
    <mergeCell ref="A12:B12"/>
    <mergeCell ref="A13:B13"/>
    <mergeCell ref="A6:D6"/>
    <mergeCell ref="A9:B9"/>
    <mergeCell ref="A1:D1"/>
    <mergeCell ref="A8:B8"/>
    <mergeCell ref="A10:B10"/>
    <mergeCell ref="A3:D3"/>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Q33"/>
  <sheetViews>
    <sheetView zoomScaleNormal="100" workbookViewId="0">
      <selection sqref="A1:C1"/>
    </sheetView>
  </sheetViews>
  <sheetFormatPr defaultColWidth="8.7109375" defaultRowHeight="10.199999999999999"/>
  <cols>
    <col min="1" max="1" width="90" style="225" customWidth="1"/>
    <col min="2" max="3" width="20" style="232" customWidth="1"/>
    <col min="4" max="17" width="3.7109375" style="205" customWidth="1"/>
    <col min="18" max="16384" width="8.7109375" style="1079"/>
  </cols>
  <sheetData>
    <row r="1" spans="1:3" ht="15.6">
      <c r="A1" s="1144" t="s">
        <v>1081</v>
      </c>
      <c r="B1" s="1205"/>
      <c r="C1" s="1205"/>
    </row>
    <row r="2" spans="1:3" ht="11.25" customHeight="1">
      <c r="A2" s="351"/>
      <c r="B2" s="345"/>
      <c r="C2" s="345"/>
    </row>
    <row r="3" spans="1:3">
      <c r="A3" s="304" t="s">
        <v>740</v>
      </c>
      <c r="B3" s="655">
        <v>2018</v>
      </c>
      <c r="C3" s="359">
        <v>2017</v>
      </c>
    </row>
    <row r="4" spans="1:3">
      <c r="A4" s="437" t="s">
        <v>1173</v>
      </c>
      <c r="B4" s="645">
        <v>32</v>
      </c>
      <c r="C4" s="438">
        <v>18</v>
      </c>
    </row>
    <row r="5" spans="1:3">
      <c r="A5" s="435" t="s">
        <v>289</v>
      </c>
      <c r="B5" s="621">
        <v>7</v>
      </c>
      <c r="C5" s="424">
        <v>10</v>
      </c>
    </row>
    <row r="6" spans="1:3">
      <c r="A6" s="435" t="s">
        <v>906</v>
      </c>
      <c r="B6" s="621">
        <v>3</v>
      </c>
      <c r="C6" s="424">
        <v>3</v>
      </c>
    </row>
    <row r="7" spans="1:3">
      <c r="A7" s="814" t="s">
        <v>290</v>
      </c>
      <c r="B7" s="621">
        <v>2</v>
      </c>
      <c r="C7" s="424">
        <v>1</v>
      </c>
    </row>
    <row r="8" spans="1:3">
      <c r="A8" s="435" t="s">
        <v>604</v>
      </c>
      <c r="B8" s="621">
        <v>10</v>
      </c>
      <c r="C8" s="424">
        <v>6</v>
      </c>
    </row>
    <row r="9" spans="1:3">
      <c r="A9" s="763" t="s">
        <v>945</v>
      </c>
      <c r="B9" s="621">
        <v>4</v>
      </c>
      <c r="C9" s="424">
        <v>4</v>
      </c>
    </row>
    <row r="10" spans="1:3">
      <c r="A10" s="815" t="s">
        <v>654</v>
      </c>
      <c r="B10" s="656">
        <v>24</v>
      </c>
      <c r="C10" s="439">
        <v>19</v>
      </c>
    </row>
    <row r="11" spans="1:3">
      <c r="A11" s="810" t="s">
        <v>620</v>
      </c>
      <c r="B11" s="626">
        <v>80</v>
      </c>
      <c r="C11" s="526">
        <v>60</v>
      </c>
    </row>
    <row r="12" spans="1:3">
      <c r="A12" s="220"/>
      <c r="B12" s="221"/>
      <c r="C12" s="221"/>
    </row>
    <row r="13" spans="1:3" ht="10.5" customHeight="1">
      <c r="A13" s="1206" t="s">
        <v>920</v>
      </c>
      <c r="B13" s="1207"/>
      <c r="C13" s="1207"/>
    </row>
    <row r="15" spans="1:3">
      <c r="A15" s="1148"/>
      <c r="B15" s="1148"/>
      <c r="C15" s="1148"/>
    </row>
    <row r="33" spans="1:1">
      <c r="A33" s="228"/>
    </row>
  </sheetData>
  <mergeCells count="3">
    <mergeCell ref="A1:C1"/>
    <mergeCell ref="A13:C13"/>
    <mergeCell ref="A15:C15"/>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Q19"/>
  <sheetViews>
    <sheetView zoomScaleNormal="100" workbookViewId="0">
      <selection sqref="A1:C1"/>
    </sheetView>
  </sheetViews>
  <sheetFormatPr defaultColWidth="8.7109375" defaultRowHeight="10.199999999999999"/>
  <cols>
    <col min="1" max="1" width="90" style="225" customWidth="1"/>
    <col min="2" max="3" width="20" style="232" customWidth="1"/>
    <col min="4" max="17" width="3.7109375" style="205" customWidth="1"/>
    <col min="18" max="16384" width="8.7109375" style="1079"/>
  </cols>
  <sheetData>
    <row r="1" spans="1:17" ht="15.6">
      <c r="A1" s="1144" t="s">
        <v>1082</v>
      </c>
      <c r="B1" s="1205"/>
      <c r="C1" s="1205"/>
    </row>
    <row r="2" spans="1:17" ht="15.6">
      <c r="A2" s="1007"/>
      <c r="B2" s="1009"/>
      <c r="C2" s="1009"/>
      <c r="D2" s="1012"/>
      <c r="E2" s="1012"/>
      <c r="F2" s="1012"/>
      <c r="G2" s="1012"/>
      <c r="H2" s="1012"/>
      <c r="I2" s="1012"/>
      <c r="J2" s="1012"/>
      <c r="K2" s="1012"/>
      <c r="L2" s="1012"/>
      <c r="M2" s="1012"/>
      <c r="N2" s="1012"/>
      <c r="O2" s="1012"/>
      <c r="P2" s="1012"/>
      <c r="Q2" s="1012"/>
    </row>
    <row r="3" spans="1:17" ht="11.25" customHeight="1">
      <c r="A3" s="351"/>
      <c r="B3" s="345"/>
      <c r="C3" s="489" t="s">
        <v>1025</v>
      </c>
    </row>
    <row r="4" spans="1:17">
      <c r="A4" s="304" t="s">
        <v>740</v>
      </c>
      <c r="B4" s="650">
        <v>2018</v>
      </c>
      <c r="C4" s="309">
        <v>2017</v>
      </c>
    </row>
    <row r="5" spans="1:17">
      <c r="A5" s="437" t="s">
        <v>330</v>
      </c>
      <c r="B5" s="645">
        <v>-1598</v>
      </c>
      <c r="C5" s="438">
        <v>-1418</v>
      </c>
    </row>
    <row r="6" spans="1:17">
      <c r="A6" s="435" t="s">
        <v>282</v>
      </c>
      <c r="B6" s="621">
        <v>40</v>
      </c>
      <c r="C6" s="424">
        <v>1</v>
      </c>
    </row>
    <row r="7" spans="1:17">
      <c r="A7" s="431" t="s">
        <v>283</v>
      </c>
      <c r="B7" s="649">
        <v>-1294</v>
      </c>
      <c r="C7" s="428">
        <v>-1144</v>
      </c>
    </row>
    <row r="8" spans="1:17">
      <c r="A8" s="527" t="s">
        <v>620</v>
      </c>
      <c r="B8" s="626">
        <v>-2852</v>
      </c>
      <c r="C8" s="526">
        <v>-2561</v>
      </c>
    </row>
    <row r="10" spans="1:17">
      <c r="A10" s="1148"/>
      <c r="B10" s="1148"/>
      <c r="C10" s="1148"/>
    </row>
    <row r="11" spans="1:17">
      <c r="B11" s="354"/>
    </row>
    <row r="18" spans="3:3">
      <c r="C18" s="354"/>
    </row>
    <row r="19" spans="3:3">
      <c r="C19" s="354"/>
    </row>
  </sheetData>
  <mergeCells count="2">
    <mergeCell ref="A1:C1"/>
    <mergeCell ref="A10:C10"/>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Q31"/>
  <sheetViews>
    <sheetView zoomScaleNormal="100" workbookViewId="0">
      <selection sqref="A1:D1"/>
    </sheetView>
  </sheetViews>
  <sheetFormatPr defaultColWidth="8.7109375" defaultRowHeight="10.199999999999999"/>
  <cols>
    <col min="1" max="1" width="2.42578125" style="225" customWidth="1"/>
    <col min="2" max="2" width="87.42578125" style="225" customWidth="1"/>
    <col min="3" max="4" width="20" style="232" customWidth="1"/>
    <col min="5" max="17" width="3.7109375" style="205" customWidth="1"/>
    <col min="18" max="16384" width="8.7109375" style="1079"/>
  </cols>
  <sheetData>
    <row r="1" spans="1:16" ht="15.6">
      <c r="A1" s="1144" t="s">
        <v>1083</v>
      </c>
      <c r="B1" s="1208"/>
      <c r="C1" s="1208"/>
      <c r="D1" s="1208"/>
    </row>
    <row r="2" spans="1:16" ht="11.25" customHeight="1">
      <c r="A2" s="447"/>
      <c r="B2" s="351"/>
      <c r="C2" s="345"/>
      <c r="D2" s="345"/>
    </row>
    <row r="3" spans="1:16">
      <c r="A3" s="1212" t="s">
        <v>740</v>
      </c>
      <c r="B3" s="1212"/>
      <c r="C3" s="650">
        <v>2018</v>
      </c>
      <c r="D3" s="309">
        <v>2017</v>
      </c>
    </row>
    <row r="4" spans="1:16">
      <c r="A4" s="1209" t="s">
        <v>688</v>
      </c>
      <c r="B4" s="1209"/>
      <c r="C4" s="624">
        <v>954</v>
      </c>
      <c r="D4" s="427">
        <v>1000</v>
      </c>
    </row>
    <row r="5" spans="1:16">
      <c r="A5" s="1209" t="s">
        <v>689</v>
      </c>
      <c r="B5" s="1209"/>
      <c r="C5" s="624"/>
      <c r="D5" s="422"/>
    </row>
    <row r="6" spans="1:16">
      <c r="A6" s="1124" t="s">
        <v>730</v>
      </c>
      <c r="B6" s="1124"/>
      <c r="C6" s="624">
        <v>7</v>
      </c>
      <c r="D6" s="757">
        <v>9</v>
      </c>
    </row>
    <row r="7" spans="1:16">
      <c r="A7" s="1124" t="s">
        <v>907</v>
      </c>
      <c r="B7" s="1124"/>
      <c r="C7" s="624">
        <v>71</v>
      </c>
      <c r="D7" s="464">
        <v>66</v>
      </c>
    </row>
    <row r="8" spans="1:16">
      <c r="A8" s="1210" t="s">
        <v>690</v>
      </c>
      <c r="B8" s="1210"/>
      <c r="C8" s="649">
        <v>142</v>
      </c>
      <c r="D8" s="758">
        <v>139</v>
      </c>
    </row>
    <row r="9" spans="1:16">
      <c r="A9" s="1211" t="s">
        <v>620</v>
      </c>
      <c r="B9" s="1211"/>
      <c r="C9" s="626">
        <v>1175</v>
      </c>
      <c r="D9" s="526">
        <v>1214</v>
      </c>
    </row>
    <row r="10" spans="1:16">
      <c r="A10" s="299"/>
      <c r="B10" s="299"/>
      <c r="C10" s="301"/>
      <c r="D10" s="301"/>
    </row>
    <row r="11" spans="1:16" ht="10.5" customHeight="1">
      <c r="A11" s="1190" t="s">
        <v>1564</v>
      </c>
      <c r="B11" s="1190"/>
      <c r="C11" s="1190"/>
      <c r="D11" s="1190"/>
    </row>
    <row r="12" spans="1:16" ht="10.5" customHeight="1">
      <c r="A12" s="220"/>
      <c r="B12" s="220"/>
      <c r="C12" s="220"/>
      <c r="D12" s="220"/>
    </row>
    <row r="13" spans="1:16" ht="10.5" customHeight="1">
      <c r="A13" s="1214" t="s">
        <v>1222</v>
      </c>
      <c r="B13" s="1214"/>
      <c r="C13" s="220"/>
      <c r="D13" s="220"/>
    </row>
    <row r="14" spans="1:16">
      <c r="A14" s="219"/>
      <c r="B14" s="220"/>
      <c r="C14" s="221"/>
      <c r="D14" s="221"/>
    </row>
    <row r="15" spans="1:16" ht="50.4" customHeight="1">
      <c r="A15" s="1188" t="s">
        <v>1613</v>
      </c>
      <c r="B15" s="1188"/>
      <c r="C15" s="1188"/>
      <c r="D15" s="1188"/>
    </row>
    <row r="16" spans="1:16" ht="11.25" customHeight="1">
      <c r="A16" s="1071"/>
      <c r="B16" s="1071"/>
      <c r="C16" s="221"/>
      <c r="D16" s="221"/>
      <c r="O16" s="239"/>
      <c r="P16" s="239"/>
    </row>
    <row r="17" spans="1:16" ht="63.6" customHeight="1">
      <c r="A17" s="1188" t="s">
        <v>1614</v>
      </c>
      <c r="B17" s="1188"/>
      <c r="C17" s="1188"/>
      <c r="D17" s="1188"/>
      <c r="O17" s="239"/>
      <c r="P17" s="239"/>
    </row>
    <row r="18" spans="1:16" ht="11.25" customHeight="1">
      <c r="A18" s="446"/>
      <c r="B18" s="230"/>
      <c r="C18" s="445"/>
      <c r="D18" s="445"/>
      <c r="O18" s="239"/>
      <c r="P18" s="239"/>
    </row>
    <row r="19" spans="1:16">
      <c r="A19" s="440"/>
      <c r="B19" s="440"/>
      <c r="C19" s="650">
        <v>2018</v>
      </c>
      <c r="D19" s="309">
        <v>2017</v>
      </c>
    </row>
    <row r="20" spans="1:16">
      <c r="A20" s="1213" t="s">
        <v>731</v>
      </c>
      <c r="B20" s="1213"/>
      <c r="C20" s="624">
        <v>18899</v>
      </c>
      <c r="D20" s="427">
        <v>17866</v>
      </c>
    </row>
    <row r="21" spans="1:16">
      <c r="A21" s="1159" t="s">
        <v>1116</v>
      </c>
      <c r="B21" s="1159"/>
      <c r="C21" s="621">
        <v>19294</v>
      </c>
      <c r="D21" s="424">
        <v>18065</v>
      </c>
    </row>
    <row r="22" spans="1:16">
      <c r="A22" s="220"/>
      <c r="B22" s="259"/>
      <c r="C22" s="259"/>
    </row>
    <row r="23" spans="1:16">
      <c r="A23" s="1148"/>
      <c r="B23" s="1148"/>
      <c r="C23" s="1148"/>
      <c r="D23" s="1148"/>
    </row>
    <row r="31" spans="1:16">
      <c r="C31" s="354"/>
    </row>
  </sheetData>
  <mergeCells count="15">
    <mergeCell ref="A23:D23"/>
    <mergeCell ref="A21:B21"/>
    <mergeCell ref="A20:B20"/>
    <mergeCell ref="A15:D15"/>
    <mergeCell ref="A11:D11"/>
    <mergeCell ref="A17:D17"/>
    <mergeCell ref="A13:B13"/>
    <mergeCell ref="A1:D1"/>
    <mergeCell ref="A5:B5"/>
    <mergeCell ref="A8:B8"/>
    <mergeCell ref="A9:B9"/>
    <mergeCell ref="A4:B4"/>
    <mergeCell ref="A3:B3"/>
    <mergeCell ref="A6:B6"/>
    <mergeCell ref="A7:B7"/>
  </mergeCells>
  <phoneticPr fontId="0" type="noConversion"/>
  <pageMargins left="0.75" right="0.75" top="1" bottom="1" header="0.5" footer="0.5"/>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Q18"/>
  <sheetViews>
    <sheetView zoomScaleNormal="100" workbookViewId="0">
      <selection sqref="A1:C1"/>
    </sheetView>
  </sheetViews>
  <sheetFormatPr defaultColWidth="8.7109375" defaultRowHeight="13.2"/>
  <cols>
    <col min="1" max="1" width="90" style="225" customWidth="1"/>
    <col min="2" max="3" width="20" style="232" customWidth="1"/>
    <col min="4" max="17" width="3.7109375" style="357" customWidth="1"/>
    <col min="18" max="16384" width="8.7109375" style="1079"/>
  </cols>
  <sheetData>
    <row r="1" spans="1:3" ht="15.6">
      <c r="A1" s="1215" t="s">
        <v>1084</v>
      </c>
      <c r="B1" s="1208"/>
      <c r="C1" s="1208"/>
    </row>
    <row r="2" spans="1:3" ht="11.25" customHeight="1">
      <c r="A2"/>
      <c r="B2" s="444"/>
      <c r="C2" s="444"/>
    </row>
    <row r="3" spans="1:3" ht="11.25" customHeight="1">
      <c r="A3" s="304" t="s">
        <v>740</v>
      </c>
      <c r="B3" s="650">
        <v>2018</v>
      </c>
      <c r="C3" s="309">
        <v>2017</v>
      </c>
    </row>
    <row r="4" spans="1:3" ht="11.25" customHeight="1">
      <c r="A4" s="437" t="s">
        <v>1355</v>
      </c>
      <c r="B4" s="645">
        <v>11</v>
      </c>
      <c r="C4" s="438">
        <v>12</v>
      </c>
    </row>
    <row r="5" spans="1:3" ht="11.25" customHeight="1">
      <c r="A5" s="764" t="s">
        <v>1184</v>
      </c>
      <c r="B5" s="624">
        <v>43</v>
      </c>
      <c r="C5" s="427">
        <v>36</v>
      </c>
    </row>
    <row r="6" spans="1:3" ht="11.25" customHeight="1">
      <c r="A6" s="441" t="s">
        <v>760</v>
      </c>
      <c r="B6" s="624">
        <v>12</v>
      </c>
      <c r="C6" s="427">
        <v>12</v>
      </c>
    </row>
    <row r="7" spans="1:3" ht="11.25" customHeight="1">
      <c r="A7" s="441" t="s">
        <v>761</v>
      </c>
      <c r="B7" s="624">
        <v>16</v>
      </c>
      <c r="C7" s="427">
        <v>15</v>
      </c>
    </row>
    <row r="8" spans="1:3" ht="11.25" customHeight="1">
      <c r="A8" s="441" t="s">
        <v>762</v>
      </c>
      <c r="B8" s="624">
        <v>43</v>
      </c>
      <c r="C8" s="427">
        <v>45</v>
      </c>
    </row>
    <row r="9" spans="1:3" ht="11.25" customHeight="1">
      <c r="A9" s="441" t="s">
        <v>763</v>
      </c>
      <c r="B9" s="624">
        <v>1</v>
      </c>
      <c r="C9" s="427">
        <v>1</v>
      </c>
    </row>
    <row r="10" spans="1:3" ht="11.25" customHeight="1">
      <c r="A10" s="431" t="s">
        <v>704</v>
      </c>
      <c r="B10" s="649">
        <v>3</v>
      </c>
      <c r="C10" s="428">
        <v>14</v>
      </c>
    </row>
    <row r="11" spans="1:3" ht="11.25" customHeight="1">
      <c r="A11" s="527" t="s">
        <v>620</v>
      </c>
      <c r="B11" s="626">
        <v>130</v>
      </c>
      <c r="C11" s="526">
        <v>134</v>
      </c>
    </row>
    <row r="12" spans="1:3">
      <c r="A12" s="291"/>
      <c r="B12" s="336"/>
      <c r="C12" s="358"/>
    </row>
    <row r="13" spans="1:3">
      <c r="A13" s="1198"/>
      <c r="B13" s="1198"/>
      <c r="C13" s="1198"/>
    </row>
    <row r="18" spans="1:1">
      <c r="A18" s="228"/>
    </row>
  </sheetData>
  <mergeCells count="2">
    <mergeCell ref="A1:C1"/>
    <mergeCell ref="A13:C13"/>
  </mergeCells>
  <phoneticPr fontId="0" type="noConversion"/>
  <pageMargins left="0.75" right="0.75" top="1" bottom="1" header="0.5" footer="0.5"/>
  <pageSetup scale="87" orientation="portrait" r:id="rId1"/>
  <headerFooter alignWithMargin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dimension ref="A1:Q32"/>
  <sheetViews>
    <sheetView zoomScaleNormal="100" workbookViewId="0">
      <selection sqref="A1:C1"/>
    </sheetView>
  </sheetViews>
  <sheetFormatPr defaultColWidth="8.7109375" defaultRowHeight="10.199999999999999"/>
  <cols>
    <col min="1" max="1" width="90" style="852" customWidth="1"/>
    <col min="2" max="3" width="20" style="232" customWidth="1"/>
    <col min="4" max="17" width="3.7109375" style="856" customWidth="1"/>
    <col min="18" max="16384" width="8.7109375" style="1079"/>
  </cols>
  <sheetData>
    <row r="1" spans="1:3" ht="15.6">
      <c r="A1" s="1144" t="s">
        <v>1354</v>
      </c>
      <c r="B1" s="1205"/>
      <c r="C1" s="1205"/>
    </row>
    <row r="2" spans="1:3" ht="11.25" customHeight="1">
      <c r="A2" s="855"/>
      <c r="B2" s="345"/>
      <c r="C2" s="345"/>
    </row>
    <row r="3" spans="1:3">
      <c r="A3" s="854" t="s">
        <v>740</v>
      </c>
      <c r="B3" s="655">
        <v>2018</v>
      </c>
      <c r="C3" s="359">
        <v>2017</v>
      </c>
    </row>
    <row r="4" spans="1:3">
      <c r="A4" s="437" t="s">
        <v>1241</v>
      </c>
      <c r="B4" s="645">
        <v>145</v>
      </c>
      <c r="C4" s="438">
        <v>138</v>
      </c>
    </row>
    <row r="5" spans="1:3">
      <c r="A5" s="848" t="s">
        <v>1242</v>
      </c>
      <c r="B5" s="621">
        <v>90</v>
      </c>
      <c r="C5" s="424">
        <v>90</v>
      </c>
    </row>
    <row r="6" spans="1:3">
      <c r="A6" s="848" t="s">
        <v>1243</v>
      </c>
      <c r="B6" s="621">
        <v>89</v>
      </c>
      <c r="C6" s="424">
        <v>71</v>
      </c>
    </row>
    <row r="7" spans="1:3">
      <c r="A7" s="814" t="s">
        <v>1244</v>
      </c>
      <c r="B7" s="621">
        <v>61</v>
      </c>
      <c r="C7" s="424">
        <v>55</v>
      </c>
    </row>
    <row r="8" spans="1:3">
      <c r="A8" s="814" t="s">
        <v>1245</v>
      </c>
      <c r="B8" s="621">
        <v>58</v>
      </c>
      <c r="C8" s="424">
        <v>51</v>
      </c>
    </row>
    <row r="9" spans="1:3">
      <c r="A9" s="851" t="s">
        <v>654</v>
      </c>
      <c r="B9" s="625">
        <v>204</v>
      </c>
      <c r="C9" s="480">
        <v>173</v>
      </c>
    </row>
    <row r="10" spans="1:3">
      <c r="A10" s="849" t="s">
        <v>620</v>
      </c>
      <c r="B10" s="626">
        <v>648</v>
      </c>
      <c r="C10" s="526">
        <v>577</v>
      </c>
    </row>
    <row r="11" spans="1:3">
      <c r="A11" s="853"/>
      <c r="B11" s="221"/>
      <c r="C11" s="221"/>
    </row>
    <row r="12" spans="1:3" ht="10.5" customHeight="1">
      <c r="A12" s="1206"/>
      <c r="B12" s="1207"/>
      <c r="C12" s="1207"/>
    </row>
    <row r="14" spans="1:3">
      <c r="A14" s="1148"/>
      <c r="B14" s="1148"/>
      <c r="C14" s="1148"/>
    </row>
    <row r="32" spans="1:1">
      <c r="A32" s="228"/>
    </row>
  </sheetData>
  <mergeCells count="3">
    <mergeCell ref="A1:C1"/>
    <mergeCell ref="A12:C12"/>
    <mergeCell ref="A14:C14"/>
  </mergeCells>
  <pageMargins left="0.75" right="0.75" top="1" bottom="1" header="0.5" footer="0.5"/>
  <pageSetup scale="87" orientation="portrait" horizontalDpi="300" r:id="rId1"/>
  <headerFooter alignWithMargins="0"/>
  <customProperties>
    <customPr name="SheetOptions"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5"/>
  <dimension ref="A1:Q35"/>
  <sheetViews>
    <sheetView zoomScaleNormal="100" workbookViewId="0">
      <selection sqref="A1:C1"/>
    </sheetView>
  </sheetViews>
  <sheetFormatPr defaultColWidth="8.7109375" defaultRowHeight="10.199999999999999"/>
  <cols>
    <col min="1" max="1" width="90" style="205" customWidth="1"/>
    <col min="2" max="3" width="20" style="205" customWidth="1"/>
    <col min="4" max="17" width="3.7109375" style="205" customWidth="1"/>
    <col min="18" max="16384" width="8.7109375" style="1079"/>
  </cols>
  <sheetData>
    <row r="1" spans="1:17" ht="15.75" customHeight="1">
      <c r="A1" s="1144" t="s">
        <v>1371</v>
      </c>
      <c r="B1" s="1208"/>
      <c r="C1" s="1208"/>
    </row>
    <row r="2" spans="1:17" ht="11.25" customHeight="1">
      <c r="A2" s="207"/>
      <c r="B2" s="350"/>
      <c r="C2" s="350"/>
    </row>
    <row r="3" spans="1:17" ht="11.25" customHeight="1">
      <c r="A3" s="304" t="s">
        <v>740</v>
      </c>
      <c r="B3" s="650">
        <v>2018</v>
      </c>
      <c r="C3" s="309">
        <v>2017</v>
      </c>
    </row>
    <row r="4" spans="1:17" ht="11.25" customHeight="1">
      <c r="A4" s="811" t="s">
        <v>921</v>
      </c>
      <c r="B4" s="624">
        <v>2</v>
      </c>
      <c r="C4" s="427">
        <v>2</v>
      </c>
    </row>
    <row r="5" spans="1:17" ht="11.25" customHeight="1">
      <c r="A5" s="450" t="s">
        <v>540</v>
      </c>
      <c r="B5" s="630">
        <v>20</v>
      </c>
      <c r="C5" s="427">
        <v>9</v>
      </c>
    </row>
    <row r="6" spans="1:17" ht="11.25" customHeight="1">
      <c r="A6" s="441" t="s">
        <v>1279</v>
      </c>
      <c r="B6" s="630">
        <v>1</v>
      </c>
      <c r="C6" s="427"/>
    </row>
    <row r="7" spans="1:17" ht="11.25" customHeight="1">
      <c r="A7" s="431" t="s">
        <v>455</v>
      </c>
      <c r="B7" s="625">
        <v>1</v>
      </c>
      <c r="C7" s="439">
        <v>2</v>
      </c>
    </row>
    <row r="8" spans="1:17" ht="11.25" customHeight="1">
      <c r="A8" s="451" t="s">
        <v>516</v>
      </c>
      <c r="B8" s="635">
        <v>24</v>
      </c>
      <c r="C8" s="449">
        <v>12</v>
      </c>
    </row>
    <row r="9" spans="1:17" ht="11.25" customHeight="1">
      <c r="A9" s="452"/>
      <c r="B9" s="657"/>
      <c r="C9" s="453"/>
    </row>
    <row r="10" spans="1:17" ht="11.25" customHeight="1">
      <c r="A10" s="450" t="s">
        <v>517</v>
      </c>
      <c r="B10" s="624">
        <v>-11</v>
      </c>
      <c r="C10" s="427">
        <v>-10</v>
      </c>
    </row>
    <row r="11" spans="1:17" ht="11.25" customHeight="1">
      <c r="A11" s="450" t="s">
        <v>34</v>
      </c>
      <c r="B11" s="624">
        <v>-34</v>
      </c>
      <c r="C11" s="427">
        <v>-14</v>
      </c>
    </row>
    <row r="12" spans="1:17" ht="11.25" customHeight="1">
      <c r="A12" s="450" t="s">
        <v>999</v>
      </c>
      <c r="B12" s="624">
        <v>-3</v>
      </c>
      <c r="C12" s="427">
        <v>-3</v>
      </c>
    </row>
    <row r="13" spans="1:17" ht="11.25" customHeight="1">
      <c r="A13" s="450" t="s">
        <v>1193</v>
      </c>
      <c r="B13" s="630">
        <v>-4</v>
      </c>
      <c r="C13" s="427">
        <v>1</v>
      </c>
    </row>
    <row r="14" spans="1:17" ht="11.25" customHeight="1">
      <c r="A14" s="441" t="s">
        <v>1218</v>
      </c>
      <c r="B14" s="630">
        <v>-1</v>
      </c>
      <c r="C14" s="427"/>
    </row>
    <row r="15" spans="1:17" ht="11.25" customHeight="1">
      <c r="A15" s="844" t="s">
        <v>1223</v>
      </c>
      <c r="B15" s="630">
        <v>-6</v>
      </c>
      <c r="C15" s="427">
        <v>-27</v>
      </c>
    </row>
    <row r="16" spans="1:17" ht="11.25" customHeight="1">
      <c r="A16" s="879" t="s">
        <v>1270</v>
      </c>
      <c r="B16" s="630">
        <v>-2</v>
      </c>
      <c r="C16" s="502">
        <v>-1</v>
      </c>
      <c r="D16" s="878"/>
      <c r="E16" s="878"/>
      <c r="F16" s="878"/>
      <c r="G16" s="878"/>
      <c r="H16" s="878"/>
      <c r="I16" s="878"/>
      <c r="J16" s="878"/>
      <c r="K16" s="878"/>
      <c r="L16" s="878"/>
      <c r="M16" s="878"/>
      <c r="N16" s="878"/>
      <c r="O16" s="878"/>
      <c r="P16" s="878"/>
      <c r="Q16" s="878"/>
    </row>
    <row r="17" spans="1:3" ht="11.25" customHeight="1">
      <c r="A17" s="431" t="s">
        <v>456</v>
      </c>
      <c r="B17" s="649">
        <v>-4</v>
      </c>
      <c r="C17" s="439">
        <v>-4</v>
      </c>
    </row>
    <row r="18" spans="1:3" ht="11.25" customHeight="1">
      <c r="A18" s="451" t="s">
        <v>518</v>
      </c>
      <c r="B18" s="635">
        <v>-65</v>
      </c>
      <c r="C18" s="449">
        <v>-59</v>
      </c>
    </row>
    <row r="19" spans="1:3" ht="11.25" customHeight="1">
      <c r="A19" s="448"/>
      <c r="B19" s="658"/>
      <c r="C19" s="454"/>
    </row>
    <row r="20" spans="1:3" ht="11.25" customHeight="1">
      <c r="A20" s="527" t="s">
        <v>620</v>
      </c>
      <c r="B20" s="626">
        <v>-40</v>
      </c>
      <c r="C20" s="526">
        <v>-47</v>
      </c>
    </row>
    <row r="21" spans="1:3" ht="11.25" customHeight="1">
      <c r="A21" s="207"/>
      <c r="B21" s="207"/>
      <c r="C21" s="207"/>
    </row>
    <row r="22" spans="1:3" ht="22.5" customHeight="1">
      <c r="A22" s="1216" t="s">
        <v>1620</v>
      </c>
      <c r="B22" s="1216"/>
      <c r="C22" s="1216"/>
    </row>
    <row r="23" spans="1:3" ht="11.25" customHeight="1"/>
    <row r="24" spans="1:3">
      <c r="A24" s="1131"/>
      <c r="B24" s="1131"/>
      <c r="C24" s="1131"/>
    </row>
    <row r="35" spans="12:12">
      <c r="L35" s="239"/>
    </row>
  </sheetData>
  <mergeCells count="3">
    <mergeCell ref="A1:C1"/>
    <mergeCell ref="A22:C22"/>
    <mergeCell ref="A24:C24"/>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Q67"/>
  <sheetViews>
    <sheetView zoomScaleNormal="100" zoomScalePageLayoutView="150" workbookViewId="0">
      <selection sqref="A1:H1"/>
    </sheetView>
  </sheetViews>
  <sheetFormatPr defaultColWidth="8.7109375" defaultRowHeight="10.199999999999999"/>
  <cols>
    <col min="1" max="1" width="2.42578125" style="225" customWidth="1"/>
    <col min="2" max="2" width="64.140625" style="225" customWidth="1"/>
    <col min="3" max="3" width="5" style="231" customWidth="1"/>
    <col min="4" max="8" width="11.7109375" style="232" customWidth="1"/>
    <col min="9" max="17" width="3.7109375" style="205" customWidth="1"/>
    <col min="18" max="16384" width="8.7109375" style="243"/>
  </cols>
  <sheetData>
    <row r="1" spans="1:17" s="1085" customFormat="1" ht="15.6">
      <c r="A1" s="1136" t="s">
        <v>560</v>
      </c>
      <c r="B1" s="1137"/>
      <c r="C1" s="1137"/>
      <c r="D1" s="1137"/>
      <c r="E1" s="1137"/>
      <c r="F1" s="1137"/>
      <c r="G1" s="1137"/>
      <c r="H1" s="1137"/>
      <c r="I1" s="205"/>
      <c r="J1" s="205"/>
      <c r="K1" s="205"/>
      <c r="L1" s="205"/>
      <c r="M1" s="205"/>
      <c r="N1" s="205"/>
      <c r="O1" s="205"/>
      <c r="P1" s="205"/>
      <c r="Q1" s="205"/>
    </row>
    <row r="2" spans="1:17" ht="11.25" customHeight="1">
      <c r="A2" s="219"/>
      <c r="B2" s="700" t="s">
        <v>1087</v>
      </c>
      <c r="C2" s="701" t="s">
        <v>1087</v>
      </c>
      <c r="D2" s="702" t="s">
        <v>1087</v>
      </c>
      <c r="E2" s="222"/>
      <c r="F2" s="222"/>
      <c r="G2" s="222"/>
      <c r="H2" s="222"/>
    </row>
    <row r="3" spans="1:17" ht="11.25" customHeight="1">
      <c r="A3" s="207"/>
      <c r="B3" s="703" t="s">
        <v>1087</v>
      </c>
      <c r="C3" s="704" t="s">
        <v>1087</v>
      </c>
      <c r="D3" s="705" t="s">
        <v>1087</v>
      </c>
      <c r="E3" s="489" t="s">
        <v>1025</v>
      </c>
      <c r="F3" s="461"/>
      <c r="G3" s="461"/>
      <c r="H3" s="461"/>
      <c r="I3" s="207"/>
      <c r="J3" s="207"/>
      <c r="K3" s="207"/>
      <c r="L3" s="207"/>
      <c r="M3" s="207"/>
      <c r="N3" s="207"/>
      <c r="O3" s="207"/>
      <c r="P3" s="207"/>
      <c r="Q3" s="207"/>
    </row>
    <row r="4" spans="1:17" ht="11.25" customHeight="1">
      <c r="A4" s="1138" t="s">
        <v>740</v>
      </c>
      <c r="B4" s="1139"/>
      <c r="C4" s="460"/>
      <c r="D4" s="615">
        <v>2018</v>
      </c>
      <c r="E4" s="233" t="s">
        <v>1357</v>
      </c>
      <c r="F4" s="233">
        <v>2016</v>
      </c>
      <c r="G4" s="233">
        <v>2015</v>
      </c>
      <c r="H4" s="233">
        <v>2014</v>
      </c>
    </row>
    <row r="5" spans="1:17" ht="11.25" customHeight="1">
      <c r="A5" s="1133" t="s">
        <v>613</v>
      </c>
      <c r="B5" s="1133"/>
      <c r="C5" s="463"/>
      <c r="D5" s="621">
        <v>5174</v>
      </c>
      <c r="E5" s="464">
        <v>4911</v>
      </c>
      <c r="F5" s="424">
        <v>4801</v>
      </c>
      <c r="G5" s="424">
        <v>5029</v>
      </c>
      <c r="H5" s="424">
        <v>4779</v>
      </c>
    </row>
    <row r="6" spans="1:17" ht="11.25" customHeight="1">
      <c r="A6" s="1124" t="s">
        <v>561</v>
      </c>
      <c r="B6" s="1124"/>
      <c r="C6" s="465" t="s">
        <v>894</v>
      </c>
      <c r="D6" s="706">
        <v>98.9</v>
      </c>
      <c r="E6" s="466">
        <v>97.7</v>
      </c>
      <c r="F6" s="467">
        <v>97.5</v>
      </c>
      <c r="G6" s="467">
        <v>97.8</v>
      </c>
      <c r="H6" s="467">
        <v>98.9</v>
      </c>
    </row>
    <row r="7" spans="1:17" ht="11.25" customHeight="1">
      <c r="A7" s="1121" t="s">
        <v>562</v>
      </c>
      <c r="B7" s="1121"/>
      <c r="C7" s="456"/>
      <c r="D7" s="621">
        <v>2145</v>
      </c>
      <c r="E7" s="427">
        <v>1953</v>
      </c>
      <c r="F7" s="427">
        <v>1804</v>
      </c>
      <c r="G7" s="427">
        <v>1936</v>
      </c>
      <c r="H7" s="427">
        <v>2280</v>
      </c>
    </row>
    <row r="8" spans="1:17" ht="11.25" customHeight="1">
      <c r="A8" s="1121" t="s">
        <v>563</v>
      </c>
      <c r="B8" s="1121"/>
      <c r="C8" s="463"/>
      <c r="D8" s="621">
        <v>18899</v>
      </c>
      <c r="E8" s="424">
        <v>17866</v>
      </c>
      <c r="F8" s="424">
        <v>18332</v>
      </c>
      <c r="G8" s="424">
        <v>18565</v>
      </c>
      <c r="H8" s="424">
        <v>18042</v>
      </c>
    </row>
    <row r="9" spans="1:17" ht="11.25" customHeight="1">
      <c r="A9" s="1124" t="s">
        <v>564</v>
      </c>
      <c r="B9" s="1124"/>
      <c r="C9" s="463"/>
      <c r="D9" s="621">
        <v>3766</v>
      </c>
      <c r="E9" s="424">
        <v>3521</v>
      </c>
      <c r="F9" s="424">
        <v>3482</v>
      </c>
      <c r="G9" s="424">
        <v>3580</v>
      </c>
      <c r="H9" s="424">
        <v>3582</v>
      </c>
    </row>
    <row r="10" spans="1:17" ht="11.25" customHeight="1">
      <c r="A10" s="1132" t="s">
        <v>342</v>
      </c>
      <c r="B10" s="1132"/>
      <c r="C10" s="476"/>
      <c r="D10" s="631">
        <v>6166</v>
      </c>
      <c r="E10" s="475">
        <v>5100</v>
      </c>
      <c r="F10" s="475">
        <v>4696</v>
      </c>
      <c r="G10" s="475">
        <v>4882</v>
      </c>
      <c r="H10" s="475">
        <v>4530</v>
      </c>
      <c r="N10" s="976"/>
    </row>
    <row r="11" spans="1:17" ht="11.25" customHeight="1">
      <c r="A11" s="1126" t="s">
        <v>965</v>
      </c>
      <c r="B11" s="1133"/>
      <c r="C11" s="518"/>
      <c r="D11" s="668"/>
      <c r="E11" s="519"/>
      <c r="F11" s="519"/>
      <c r="G11" s="519"/>
      <c r="H11" s="519"/>
      <c r="N11" s="976"/>
    </row>
    <row r="12" spans="1:17" ht="11.25" customHeight="1">
      <c r="A12" s="1121" t="s">
        <v>623</v>
      </c>
      <c r="B12" s="1121"/>
      <c r="C12" s="499"/>
      <c r="D12" s="630">
        <v>130</v>
      </c>
      <c r="E12" s="502">
        <v>134</v>
      </c>
      <c r="F12" s="502">
        <v>138</v>
      </c>
      <c r="G12" s="502">
        <v>124</v>
      </c>
      <c r="H12" s="502">
        <v>115</v>
      </c>
      <c r="N12" s="976"/>
    </row>
    <row r="13" spans="1:17">
      <c r="A13" s="1125" t="s">
        <v>850</v>
      </c>
      <c r="B13" s="1125" t="s">
        <v>36</v>
      </c>
      <c r="C13" s="499"/>
      <c r="D13" s="630">
        <v>13</v>
      </c>
      <c r="E13" s="502">
        <v>13</v>
      </c>
      <c r="F13" s="502">
        <v>14</v>
      </c>
      <c r="G13" s="502">
        <v>17</v>
      </c>
      <c r="H13" s="502">
        <v>26</v>
      </c>
      <c r="N13" s="976"/>
    </row>
    <row r="14" spans="1:17">
      <c r="A14" s="1125" t="s">
        <v>1183</v>
      </c>
      <c r="B14" s="1125"/>
      <c r="C14" s="499"/>
      <c r="D14" s="630">
        <v>577</v>
      </c>
      <c r="E14" s="502">
        <v>576</v>
      </c>
      <c r="F14" s="502">
        <v>583</v>
      </c>
      <c r="G14" s="502">
        <v>612</v>
      </c>
      <c r="H14" s="502">
        <v>569</v>
      </c>
    </row>
    <row r="15" spans="1:17">
      <c r="A15" s="1124" t="s">
        <v>566</v>
      </c>
      <c r="B15" s="1124"/>
      <c r="C15" s="520" t="s">
        <v>894</v>
      </c>
      <c r="D15" s="691">
        <v>11.2</v>
      </c>
      <c r="E15" s="521">
        <v>11.7</v>
      </c>
      <c r="F15" s="521">
        <v>12.1</v>
      </c>
      <c r="G15" s="521">
        <v>12.2</v>
      </c>
      <c r="H15" s="521">
        <v>11.9</v>
      </c>
    </row>
    <row r="16" spans="1:17" ht="11.25" customHeight="1">
      <c r="A16" s="1125" t="s">
        <v>845</v>
      </c>
      <c r="B16" s="1125"/>
      <c r="C16" s="499"/>
      <c r="D16" s="630">
        <v>543</v>
      </c>
      <c r="E16" s="502">
        <v>538</v>
      </c>
      <c r="F16" s="502">
        <v>532</v>
      </c>
      <c r="G16" s="502">
        <v>587</v>
      </c>
      <c r="H16" s="502">
        <v>522</v>
      </c>
    </row>
    <row r="17" spans="1:17" ht="11.25" customHeight="1">
      <c r="A17" s="1124" t="s">
        <v>566</v>
      </c>
      <c r="B17" s="1124"/>
      <c r="C17" s="520" t="s">
        <v>894</v>
      </c>
      <c r="D17" s="691">
        <v>10.5</v>
      </c>
      <c r="E17" s="521">
        <v>11</v>
      </c>
      <c r="F17" s="521">
        <v>11.1</v>
      </c>
      <c r="G17" s="521">
        <v>11.7</v>
      </c>
      <c r="H17" s="521">
        <v>10.9</v>
      </c>
    </row>
    <row r="18" spans="1:17" ht="11.25" customHeight="1">
      <c r="A18" s="1127" t="s">
        <v>1182</v>
      </c>
      <c r="B18" s="1127"/>
      <c r="C18" s="520"/>
      <c r="D18" s="630">
        <v>621</v>
      </c>
      <c r="E18" s="502">
        <v>612</v>
      </c>
      <c r="F18" s="502">
        <v>618</v>
      </c>
      <c r="G18" s="502">
        <v>643</v>
      </c>
      <c r="H18" s="502">
        <v>594</v>
      </c>
    </row>
    <row r="19" spans="1:17" ht="11.25" customHeight="1">
      <c r="A19" s="1124" t="s">
        <v>566</v>
      </c>
      <c r="B19" s="1124"/>
      <c r="C19" s="520" t="s">
        <v>894</v>
      </c>
      <c r="D19" s="691">
        <v>12</v>
      </c>
      <c r="E19" s="521">
        <v>12.5</v>
      </c>
      <c r="F19" s="521">
        <v>12.9</v>
      </c>
      <c r="G19" s="521">
        <v>12.8</v>
      </c>
      <c r="H19" s="521">
        <v>12.4</v>
      </c>
    </row>
    <row r="20" spans="1:17" ht="11.25" customHeight="1">
      <c r="A20" s="1125" t="s">
        <v>615</v>
      </c>
      <c r="B20" s="1125"/>
      <c r="C20" s="499"/>
      <c r="D20" s="630">
        <v>-40</v>
      </c>
      <c r="E20" s="502">
        <v>-47</v>
      </c>
      <c r="F20" s="502">
        <v>-53</v>
      </c>
      <c r="G20" s="502">
        <v>-34</v>
      </c>
      <c r="H20" s="502">
        <v>-28</v>
      </c>
    </row>
    <row r="21" spans="1:17" ht="11.25" customHeight="1">
      <c r="A21" s="1125" t="s">
        <v>622</v>
      </c>
      <c r="B21" s="1125"/>
      <c r="C21" s="499"/>
      <c r="D21" s="630">
        <v>502</v>
      </c>
      <c r="E21" s="502">
        <v>491</v>
      </c>
      <c r="F21" s="502">
        <v>479</v>
      </c>
      <c r="G21" s="502">
        <v>553</v>
      </c>
      <c r="H21" s="502">
        <v>494</v>
      </c>
    </row>
    <row r="22" spans="1:17" ht="11.25" customHeight="1">
      <c r="A22" s="1124" t="s">
        <v>566</v>
      </c>
      <c r="B22" s="1124"/>
      <c r="C22" s="520" t="s">
        <v>894</v>
      </c>
      <c r="D22" s="691">
        <v>9.6999999999999993</v>
      </c>
      <c r="E22" s="521">
        <v>10</v>
      </c>
      <c r="F22" s="521">
        <v>10</v>
      </c>
      <c r="G22" s="521">
        <v>11</v>
      </c>
      <c r="H22" s="521">
        <v>10.3</v>
      </c>
    </row>
    <row r="23" spans="1:17" ht="11.25" customHeight="1">
      <c r="A23" s="1125" t="s">
        <v>1099</v>
      </c>
      <c r="B23" s="1125"/>
      <c r="C23" s="499"/>
      <c r="D23" s="630">
        <v>386</v>
      </c>
      <c r="E23" s="502">
        <v>375</v>
      </c>
      <c r="F23" s="502">
        <v>357</v>
      </c>
      <c r="G23" s="502">
        <v>429</v>
      </c>
      <c r="H23" s="502">
        <v>389</v>
      </c>
    </row>
    <row r="24" spans="1:17" ht="11.25" customHeight="1">
      <c r="A24" s="1117" t="s">
        <v>1100</v>
      </c>
      <c r="B24" s="1117"/>
      <c r="C24" s="520"/>
      <c r="D24" s="630" t="s">
        <v>565</v>
      </c>
      <c r="E24" s="502" t="s">
        <v>565</v>
      </c>
      <c r="F24" s="502" t="s">
        <v>565</v>
      </c>
      <c r="G24" s="502">
        <v>22</v>
      </c>
      <c r="H24" s="502">
        <v>-37</v>
      </c>
    </row>
    <row r="25" spans="1:17" ht="11.25" customHeight="1">
      <c r="A25" s="1117" t="s">
        <v>1098</v>
      </c>
      <c r="B25" s="1117"/>
      <c r="C25" s="520"/>
      <c r="D25" s="786">
        <v>386</v>
      </c>
      <c r="E25" s="502">
        <v>375</v>
      </c>
      <c r="F25" s="502">
        <v>357</v>
      </c>
      <c r="G25" s="502">
        <v>451</v>
      </c>
      <c r="H25" s="502">
        <v>351</v>
      </c>
      <c r="I25" s="792"/>
      <c r="J25" s="792"/>
      <c r="K25" s="792"/>
      <c r="L25" s="792"/>
      <c r="M25" s="792"/>
      <c r="N25" s="792"/>
      <c r="O25" s="792"/>
      <c r="P25" s="792"/>
      <c r="Q25" s="792"/>
    </row>
    <row r="26" spans="1:17" ht="11.25" customHeight="1">
      <c r="A26" s="1123" t="s">
        <v>566</v>
      </c>
      <c r="B26" s="1123"/>
      <c r="C26" s="481" t="s">
        <v>894</v>
      </c>
      <c r="D26" s="812">
        <v>7.5</v>
      </c>
      <c r="E26" s="813">
        <v>7.6</v>
      </c>
      <c r="F26" s="813">
        <v>7.4</v>
      </c>
      <c r="G26" s="813">
        <v>9</v>
      </c>
      <c r="H26" s="813">
        <v>7.4</v>
      </c>
    </row>
    <row r="27" spans="1:17" ht="11.25" customHeight="1">
      <c r="A27" s="1134" t="s">
        <v>966</v>
      </c>
      <c r="B27" s="1135"/>
      <c r="C27" s="456"/>
      <c r="D27" s="654"/>
      <c r="E27" s="456"/>
      <c r="F27" s="456"/>
      <c r="G27" s="456"/>
      <c r="H27" s="456"/>
    </row>
    <row r="28" spans="1:17" ht="11.25" customHeight="1">
      <c r="A28" s="1121" t="s">
        <v>18</v>
      </c>
      <c r="B28" s="1121"/>
      <c r="C28" s="463"/>
      <c r="D28" s="621">
        <v>2369</v>
      </c>
      <c r="E28" s="424">
        <v>2285</v>
      </c>
      <c r="F28" s="424">
        <v>2116</v>
      </c>
      <c r="G28" s="424">
        <v>2215</v>
      </c>
      <c r="H28" s="424">
        <v>1884</v>
      </c>
    </row>
    <row r="29" spans="1:17" ht="11.25" customHeight="1">
      <c r="A29" s="1121" t="s">
        <v>21</v>
      </c>
      <c r="B29" s="1121"/>
      <c r="C29" s="463"/>
      <c r="D29" s="621">
        <v>3690</v>
      </c>
      <c r="E29" s="424">
        <v>3363</v>
      </c>
      <c r="F29" s="424">
        <v>3275</v>
      </c>
      <c r="G29" s="424">
        <v>3374</v>
      </c>
      <c r="H29" s="424">
        <v>3294</v>
      </c>
    </row>
    <row r="30" spans="1:17" ht="11.25" customHeight="1">
      <c r="A30" s="1121" t="s">
        <v>1076</v>
      </c>
      <c r="B30" s="1121"/>
      <c r="C30" s="463"/>
      <c r="D30" s="785" t="s">
        <v>565</v>
      </c>
      <c r="E30" s="424" t="s">
        <v>565</v>
      </c>
      <c r="F30" s="502" t="s">
        <v>565</v>
      </c>
      <c r="G30" s="502" t="s">
        <v>565</v>
      </c>
      <c r="H30" s="502">
        <v>102</v>
      </c>
    </row>
    <row r="31" spans="1:17">
      <c r="A31" s="1121" t="s">
        <v>776</v>
      </c>
      <c r="B31" s="1121"/>
      <c r="C31" s="463"/>
      <c r="D31" s="621">
        <v>2418</v>
      </c>
      <c r="E31" s="424">
        <v>2352</v>
      </c>
      <c r="F31" s="424">
        <v>2288</v>
      </c>
      <c r="G31" s="424">
        <v>2201</v>
      </c>
      <c r="H31" s="424">
        <v>1960</v>
      </c>
    </row>
    <row r="32" spans="1:17">
      <c r="A32" s="1121" t="s">
        <v>828</v>
      </c>
      <c r="B32" s="1121"/>
      <c r="C32" s="463"/>
      <c r="D32" s="621">
        <v>14</v>
      </c>
      <c r="E32" s="424">
        <v>24</v>
      </c>
      <c r="F32" s="424">
        <v>34</v>
      </c>
      <c r="G32" s="424">
        <v>41</v>
      </c>
      <c r="H32" s="424">
        <v>45</v>
      </c>
    </row>
    <row r="33" spans="1:8" ht="11.25" customHeight="1">
      <c r="A33" s="1121" t="s">
        <v>781</v>
      </c>
      <c r="B33" s="1121"/>
      <c r="C33" s="463"/>
      <c r="D33" s="621">
        <v>823</v>
      </c>
      <c r="E33" s="424">
        <v>619</v>
      </c>
      <c r="F33" s="424">
        <v>629</v>
      </c>
      <c r="G33" s="424">
        <v>724</v>
      </c>
      <c r="H33" s="424">
        <v>666</v>
      </c>
    </row>
    <row r="34" spans="1:8" ht="11.25" customHeight="1">
      <c r="A34" s="1125" t="s">
        <v>732</v>
      </c>
      <c r="B34" s="1125"/>
      <c r="C34" s="499"/>
      <c r="D34" s="630">
        <v>2804</v>
      </c>
      <c r="E34" s="502">
        <v>2653</v>
      </c>
      <c r="F34" s="502">
        <v>2441</v>
      </c>
      <c r="G34" s="502">
        <v>2623</v>
      </c>
      <c r="H34" s="502">
        <v>2554</v>
      </c>
    </row>
    <row r="35" spans="1:8" ht="11.25" customHeight="1">
      <c r="A35" s="1125" t="s">
        <v>1075</v>
      </c>
      <c r="B35" s="1125"/>
      <c r="C35" s="499"/>
      <c r="D35" s="786" t="s">
        <v>565</v>
      </c>
      <c r="E35" s="502" t="s">
        <v>565</v>
      </c>
      <c r="F35" s="502" t="s">
        <v>565</v>
      </c>
      <c r="G35" s="502" t="s">
        <v>565</v>
      </c>
      <c r="H35" s="502">
        <v>55</v>
      </c>
    </row>
    <row r="36" spans="1:8" ht="11.25" customHeight="1">
      <c r="A36" s="1118" t="s">
        <v>403</v>
      </c>
      <c r="B36" s="1118"/>
      <c r="C36" s="479"/>
      <c r="D36" s="625">
        <v>6059</v>
      </c>
      <c r="E36" s="480">
        <v>5648</v>
      </c>
      <c r="F36" s="480">
        <v>5391</v>
      </c>
      <c r="G36" s="480">
        <v>5589</v>
      </c>
      <c r="H36" s="480">
        <v>5280</v>
      </c>
    </row>
    <row r="37" spans="1:8" ht="11.25" customHeight="1">
      <c r="A37" s="1126" t="s">
        <v>1181</v>
      </c>
      <c r="B37" s="1126"/>
      <c r="C37" s="469"/>
      <c r="D37" s="635"/>
      <c r="E37" s="449"/>
      <c r="F37" s="449"/>
      <c r="G37" s="449"/>
      <c r="H37" s="449"/>
    </row>
    <row r="38" spans="1:8" ht="11.25" customHeight="1">
      <c r="A38" s="1121" t="s">
        <v>585</v>
      </c>
      <c r="B38" s="1121"/>
      <c r="C38" s="463"/>
      <c r="D38" s="621">
        <v>470</v>
      </c>
      <c r="E38" s="424">
        <v>430</v>
      </c>
      <c r="F38" s="424">
        <v>613</v>
      </c>
      <c r="G38" s="424">
        <v>255</v>
      </c>
      <c r="H38" s="424">
        <v>452</v>
      </c>
    </row>
    <row r="39" spans="1:8" ht="11.25" customHeight="1">
      <c r="A39" s="1121" t="s">
        <v>588</v>
      </c>
      <c r="B39" s="1121"/>
      <c r="C39" s="463"/>
      <c r="D39" s="621">
        <v>-240</v>
      </c>
      <c r="E39" s="424">
        <v>-235</v>
      </c>
      <c r="F39" s="424">
        <v>-126</v>
      </c>
      <c r="G39" s="424">
        <v>-288</v>
      </c>
      <c r="H39" s="424">
        <v>-71</v>
      </c>
    </row>
    <row r="40" spans="1:8" ht="11.25" customHeight="1">
      <c r="A40" s="1118" t="s">
        <v>346</v>
      </c>
      <c r="B40" s="1118"/>
      <c r="C40" s="479"/>
      <c r="D40" s="625">
        <v>-118</v>
      </c>
      <c r="E40" s="480">
        <v>-278</v>
      </c>
      <c r="F40" s="480">
        <v>-339</v>
      </c>
      <c r="G40" s="480">
        <v>-210</v>
      </c>
      <c r="H40" s="480">
        <v>-210</v>
      </c>
    </row>
    <row r="41" spans="1:8" ht="11.25" customHeight="1">
      <c r="A41" s="1122" t="s">
        <v>567</v>
      </c>
      <c r="B41" s="1122"/>
      <c r="C41" s="470"/>
      <c r="D41" s="635">
        <v>306</v>
      </c>
      <c r="E41" s="784">
        <v>255</v>
      </c>
      <c r="F41" s="471">
        <v>146</v>
      </c>
      <c r="G41" s="471">
        <v>346</v>
      </c>
      <c r="H41" s="471">
        <v>101</v>
      </c>
    </row>
    <row r="42" spans="1:8" ht="11.25" customHeight="1">
      <c r="A42" s="1124" t="s">
        <v>566</v>
      </c>
      <c r="B42" s="1124"/>
      <c r="C42" s="465" t="s">
        <v>894</v>
      </c>
      <c r="D42" s="724">
        <v>5.9</v>
      </c>
      <c r="E42" s="467">
        <v>5.2</v>
      </c>
      <c r="F42" s="467">
        <v>3</v>
      </c>
      <c r="G42" s="467">
        <v>6.9</v>
      </c>
      <c r="H42" s="467">
        <v>2.1</v>
      </c>
    </row>
    <row r="43" spans="1:8">
      <c r="A43" s="1121" t="s">
        <v>568</v>
      </c>
      <c r="B43" s="1121" t="s">
        <v>1273</v>
      </c>
      <c r="C43" s="463"/>
      <c r="D43" s="624">
        <v>165</v>
      </c>
      <c r="E43" s="424">
        <v>141</v>
      </c>
      <c r="F43" s="424">
        <v>131</v>
      </c>
      <c r="G43" s="424">
        <v>132</v>
      </c>
      <c r="H43" s="424">
        <v>139</v>
      </c>
    </row>
    <row r="44" spans="1:8" ht="11.25" customHeight="1">
      <c r="A44" s="1124" t="s">
        <v>566</v>
      </c>
      <c r="B44" s="1124"/>
      <c r="C44" s="520" t="s">
        <v>894</v>
      </c>
      <c r="D44" s="691">
        <v>3.2</v>
      </c>
      <c r="E44" s="521">
        <v>2.9</v>
      </c>
      <c r="F44" s="521">
        <v>2.7</v>
      </c>
      <c r="G44" s="521">
        <v>2.6</v>
      </c>
      <c r="H44" s="521">
        <v>2.9</v>
      </c>
    </row>
    <row r="45" spans="1:8" ht="11.25" customHeight="1">
      <c r="A45" s="1119" t="s">
        <v>569</v>
      </c>
      <c r="B45" s="1119"/>
      <c r="C45" s="476"/>
      <c r="D45" s="631" t="s">
        <v>1610</v>
      </c>
      <c r="E45" s="475">
        <v>272</v>
      </c>
      <c r="F45" s="475">
        <v>256</v>
      </c>
      <c r="G45" s="475">
        <v>237</v>
      </c>
      <c r="H45" s="475">
        <v>227</v>
      </c>
    </row>
    <row r="46" spans="1:8" ht="11.25" customHeight="1">
      <c r="A46" s="1120" t="s">
        <v>570</v>
      </c>
      <c r="B46" s="1121"/>
      <c r="C46" s="463"/>
      <c r="D46" s="619"/>
      <c r="E46" s="473"/>
      <c r="F46" s="473"/>
      <c r="G46" s="473"/>
      <c r="H46" s="473"/>
    </row>
    <row r="47" spans="1:8" ht="11.25" customHeight="1">
      <c r="A47" s="1121" t="s">
        <v>1399</v>
      </c>
      <c r="B47" s="1121"/>
      <c r="C47" s="465" t="s">
        <v>571</v>
      </c>
      <c r="D47" s="725">
        <v>0.65</v>
      </c>
      <c r="E47" s="474">
        <v>0.63</v>
      </c>
      <c r="F47" s="474">
        <v>0.6</v>
      </c>
      <c r="G47" s="474">
        <v>0.75</v>
      </c>
      <c r="H47" s="474">
        <v>0.59</v>
      </c>
    </row>
    <row r="48" spans="1:8" ht="11.25" customHeight="1">
      <c r="A48" s="1121" t="s">
        <v>1400</v>
      </c>
      <c r="B48" s="1121"/>
      <c r="C48" s="465" t="s">
        <v>571</v>
      </c>
      <c r="D48" s="725" t="s">
        <v>1609</v>
      </c>
      <c r="E48" s="474">
        <v>0.46</v>
      </c>
      <c r="F48" s="474">
        <v>0.43</v>
      </c>
      <c r="G48" s="474">
        <v>0.4</v>
      </c>
      <c r="H48" s="474">
        <v>0.38</v>
      </c>
    </row>
    <row r="49" spans="1:8" ht="11.25" customHeight="1">
      <c r="A49" s="1121" t="s">
        <v>719</v>
      </c>
      <c r="B49" s="1121"/>
      <c r="C49" s="465" t="s">
        <v>894</v>
      </c>
      <c r="D49" s="706" t="s">
        <v>1611</v>
      </c>
      <c r="E49" s="467">
        <v>70.8</v>
      </c>
      <c r="F49" s="467">
        <v>72.8</v>
      </c>
      <c r="G49" s="467">
        <v>53.3</v>
      </c>
      <c r="H49" s="467">
        <v>65.400000000000006</v>
      </c>
    </row>
    <row r="50" spans="1:8" ht="11.25" customHeight="1">
      <c r="A50" s="1121" t="s">
        <v>572</v>
      </c>
      <c r="B50" s="1121"/>
      <c r="C50" s="463"/>
      <c r="D50" s="706">
        <v>10.8</v>
      </c>
      <c r="E50" s="467">
        <v>11.8</v>
      </c>
      <c r="F50" s="467">
        <v>18.600000000000001</v>
      </c>
      <c r="G50" s="467">
        <v>15.9</v>
      </c>
      <c r="H50" s="467">
        <v>15.9</v>
      </c>
    </row>
    <row r="51" spans="1:8">
      <c r="A51" s="1121" t="s">
        <v>379</v>
      </c>
      <c r="B51" s="1121"/>
      <c r="C51" s="465" t="s">
        <v>894</v>
      </c>
      <c r="D51" s="787" t="s">
        <v>565</v>
      </c>
      <c r="E51" s="467" t="s">
        <v>565</v>
      </c>
      <c r="F51" s="467" t="s">
        <v>565</v>
      </c>
      <c r="G51" s="467" t="s">
        <v>565</v>
      </c>
      <c r="H51" s="467">
        <v>18.7</v>
      </c>
    </row>
    <row r="52" spans="1:8">
      <c r="A52" s="1121" t="s">
        <v>1102</v>
      </c>
      <c r="B52" s="1121"/>
      <c r="C52" s="465" t="s">
        <v>894</v>
      </c>
      <c r="D52" s="706">
        <v>18.079999999999998</v>
      </c>
      <c r="E52" s="467">
        <v>18.5</v>
      </c>
      <c r="F52" s="467">
        <v>17.09</v>
      </c>
      <c r="G52" s="788">
        <v>21</v>
      </c>
      <c r="H52" s="788">
        <v>20.3</v>
      </c>
    </row>
    <row r="53" spans="1:8">
      <c r="A53" s="1121" t="s">
        <v>381</v>
      </c>
      <c r="B53" s="1121"/>
      <c r="C53" s="465" t="s">
        <v>894</v>
      </c>
      <c r="D53" s="787" t="s">
        <v>565</v>
      </c>
      <c r="E53" s="467" t="s">
        <v>565</v>
      </c>
      <c r="F53" s="467" t="s">
        <v>565</v>
      </c>
      <c r="G53" s="467" t="s">
        <v>565</v>
      </c>
      <c r="H53" s="467">
        <v>18</v>
      </c>
    </row>
    <row r="54" spans="1:8">
      <c r="A54" s="1121" t="s">
        <v>1103</v>
      </c>
      <c r="B54" s="1121"/>
      <c r="C54" s="465" t="s">
        <v>894</v>
      </c>
      <c r="D54" s="706">
        <v>16.07</v>
      </c>
      <c r="E54" s="467">
        <v>16</v>
      </c>
      <c r="F54" s="467">
        <v>15.64</v>
      </c>
      <c r="G54" s="788">
        <v>20.2</v>
      </c>
      <c r="H54" s="788">
        <v>20</v>
      </c>
    </row>
    <row r="55" spans="1:8" ht="11.25" customHeight="1">
      <c r="A55" s="1121" t="s">
        <v>720</v>
      </c>
      <c r="B55" s="1121"/>
      <c r="C55" s="465" t="s">
        <v>894</v>
      </c>
      <c r="D55" s="706">
        <v>44.4</v>
      </c>
      <c r="E55" s="467">
        <v>46.3</v>
      </c>
      <c r="F55" s="467">
        <v>47.6</v>
      </c>
      <c r="G55" s="467">
        <v>44.6</v>
      </c>
      <c r="H55" s="467">
        <v>43.5</v>
      </c>
    </row>
    <row r="56" spans="1:8" ht="11.25" customHeight="1">
      <c r="A56" s="1121" t="s">
        <v>269</v>
      </c>
      <c r="B56" s="1121"/>
      <c r="C56" s="463"/>
      <c r="D56" s="725">
        <v>0.14000000000000001</v>
      </c>
      <c r="E56" s="474">
        <v>0.1</v>
      </c>
      <c r="F56" s="474">
        <v>7.0000000000000007E-2</v>
      </c>
      <c r="G56" s="474">
        <v>0.17</v>
      </c>
      <c r="H56" s="474">
        <v>0.05</v>
      </c>
    </row>
    <row r="57" spans="1:8" ht="11.25" customHeight="1">
      <c r="A57" s="1121" t="s">
        <v>1640</v>
      </c>
      <c r="B57" s="1121"/>
      <c r="C57" s="465" t="s">
        <v>571</v>
      </c>
      <c r="D57" s="725">
        <v>4.09</v>
      </c>
      <c r="E57" s="474">
        <v>3.97</v>
      </c>
      <c r="F57" s="474">
        <v>3.87</v>
      </c>
      <c r="G57" s="474">
        <v>3.72</v>
      </c>
      <c r="H57" s="474">
        <v>3.31</v>
      </c>
    </row>
    <row r="58" spans="1:8" ht="11.25" customHeight="1">
      <c r="A58" s="1125" t="s">
        <v>959</v>
      </c>
      <c r="B58" s="1125"/>
      <c r="C58" s="520" t="s">
        <v>571</v>
      </c>
      <c r="D58" s="630">
        <v>581</v>
      </c>
      <c r="E58" s="502">
        <v>563</v>
      </c>
      <c r="F58" s="502">
        <v>490</v>
      </c>
      <c r="G58" s="502">
        <v>543</v>
      </c>
      <c r="H58" s="502">
        <v>251</v>
      </c>
    </row>
    <row r="59" spans="1:8" ht="11.25" customHeight="1">
      <c r="A59" s="219"/>
      <c r="B59" s="223"/>
      <c r="C59" s="224"/>
      <c r="D59" s="224"/>
      <c r="E59" s="224"/>
      <c r="F59" s="224"/>
      <c r="G59" s="224"/>
      <c r="H59" s="224"/>
    </row>
    <row r="60" spans="1:8" ht="11.25" customHeight="1">
      <c r="A60" s="1130" t="s">
        <v>1401</v>
      </c>
      <c r="B60" s="1131"/>
      <c r="C60" s="1131"/>
      <c r="D60" s="1131"/>
      <c r="E60" s="1131"/>
      <c r="F60" s="1131"/>
      <c r="G60" s="1131"/>
      <c r="H60" s="1131"/>
    </row>
    <row r="61" spans="1:8" ht="11.25" customHeight="1">
      <c r="A61" s="229"/>
      <c r="B61" s="226"/>
      <c r="C61" s="226"/>
      <c r="D61" s="226"/>
      <c r="E61" s="226"/>
      <c r="F61" s="226"/>
      <c r="G61" s="226"/>
      <c r="H61" s="226"/>
    </row>
    <row r="62" spans="1:8" ht="11.25" customHeight="1">
      <c r="A62" s="1130" t="s">
        <v>1231</v>
      </c>
      <c r="B62" s="1131"/>
      <c r="C62" s="1131"/>
      <c r="D62" s="1131"/>
      <c r="E62" s="1131"/>
      <c r="F62" s="1131"/>
      <c r="G62" s="1131"/>
      <c r="H62" s="1131"/>
    </row>
    <row r="63" spans="1:8" ht="11.25" customHeight="1">
      <c r="A63" s="229"/>
      <c r="B63" s="226"/>
      <c r="C63" s="226"/>
      <c r="D63" s="226"/>
      <c r="E63" s="226"/>
      <c r="F63" s="226"/>
      <c r="G63" s="226"/>
      <c r="H63" s="226"/>
    </row>
    <row r="64" spans="1:8" ht="22.5" customHeight="1">
      <c r="A64" s="1130" t="s">
        <v>1402</v>
      </c>
      <c r="B64" s="1131"/>
      <c r="C64" s="1131"/>
      <c r="D64" s="1131"/>
      <c r="E64" s="1131"/>
      <c r="F64" s="1131"/>
      <c r="G64" s="1131"/>
      <c r="H64" s="1131"/>
    </row>
    <row r="65" spans="1:8" ht="11.25" customHeight="1">
      <c r="A65" s="1128"/>
      <c r="B65" s="1129"/>
      <c r="C65" s="1129"/>
      <c r="D65" s="1129"/>
      <c r="E65" s="1129"/>
      <c r="F65" s="1129"/>
      <c r="G65" s="1129"/>
      <c r="H65" s="1129"/>
    </row>
    <row r="66" spans="1:8" ht="11.25" customHeight="1">
      <c r="A66" s="220"/>
      <c r="B66" s="220"/>
      <c r="C66" s="221"/>
      <c r="D66" s="221"/>
      <c r="E66" s="221"/>
      <c r="F66" s="221"/>
      <c r="G66" s="221"/>
      <c r="H66" s="221"/>
    </row>
    <row r="67" spans="1:8" ht="11.25" customHeight="1"/>
  </sheetData>
  <mergeCells count="60">
    <mergeCell ref="A1:H1"/>
    <mergeCell ref="A4:B4"/>
    <mergeCell ref="A5:B5"/>
    <mergeCell ref="A7:B7"/>
    <mergeCell ref="A8:B8"/>
    <mergeCell ref="A6:B6"/>
    <mergeCell ref="A50:B50"/>
    <mergeCell ref="A48:B48"/>
    <mergeCell ref="A10:B10"/>
    <mergeCell ref="A11:B11"/>
    <mergeCell ref="A33:B33"/>
    <mergeCell ref="A16:B16"/>
    <mergeCell ref="A20:B20"/>
    <mergeCell ref="A32:B32"/>
    <mergeCell ref="A12:B12"/>
    <mergeCell ref="A13:B13"/>
    <mergeCell ref="A28:B28"/>
    <mergeCell ref="A14:B14"/>
    <mergeCell ref="A21:B21"/>
    <mergeCell ref="A23:B23"/>
    <mergeCell ref="A27:B27"/>
    <mergeCell ref="A49:B49"/>
    <mergeCell ref="A65:H65"/>
    <mergeCell ref="A51:B51"/>
    <mergeCell ref="A53:B53"/>
    <mergeCell ref="A62:H62"/>
    <mergeCell ref="A55:B55"/>
    <mergeCell ref="A58:B58"/>
    <mergeCell ref="A56:B56"/>
    <mergeCell ref="A64:H64"/>
    <mergeCell ref="A57:B57"/>
    <mergeCell ref="A60:H60"/>
    <mergeCell ref="A52:B52"/>
    <mergeCell ref="A54:B54"/>
    <mergeCell ref="A9:B9"/>
    <mergeCell ref="A15:B15"/>
    <mergeCell ref="A17:B17"/>
    <mergeCell ref="A19:B19"/>
    <mergeCell ref="A22:B22"/>
    <mergeCell ref="A18:B18"/>
    <mergeCell ref="A47:B47"/>
    <mergeCell ref="A26:B26"/>
    <mergeCell ref="A42:B42"/>
    <mergeCell ref="A44:B44"/>
    <mergeCell ref="A29:B29"/>
    <mergeCell ref="A31:B31"/>
    <mergeCell ref="A30:B30"/>
    <mergeCell ref="A35:B35"/>
    <mergeCell ref="A34:B34"/>
    <mergeCell ref="A43:B43"/>
    <mergeCell ref="A40:B40"/>
    <mergeCell ref="A37:B37"/>
    <mergeCell ref="A38:B38"/>
    <mergeCell ref="A39:B39"/>
    <mergeCell ref="A25:B25"/>
    <mergeCell ref="A24:B24"/>
    <mergeCell ref="A36:B36"/>
    <mergeCell ref="A45:B45"/>
    <mergeCell ref="A46:B46"/>
    <mergeCell ref="A41:B41"/>
  </mergeCells>
  <phoneticPr fontId="49" type="noConversion"/>
  <pageMargins left="0.75" right="0.75" top="1" bottom="1" header="0.5" footer="0.5"/>
  <pageSetup paperSize="9" scale="84" orientation="portrait" r:id="rId1"/>
  <headerFooter alignWithMargins="0"/>
  <customProperties>
    <customPr name="SheetOptions" r:id="rId2"/>
    <customPr name="WORKBKFUNCTIONCACHE" r:id="rId3"/>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dimension ref="A1:Q37"/>
  <sheetViews>
    <sheetView zoomScaleNormal="100" workbookViewId="0">
      <selection sqref="A1:D1"/>
    </sheetView>
  </sheetViews>
  <sheetFormatPr defaultColWidth="8.7109375" defaultRowHeight="10.199999999999999"/>
  <cols>
    <col min="1" max="1" width="2.7109375" style="225" customWidth="1"/>
    <col min="2" max="2" width="87.42578125" style="225" customWidth="1"/>
    <col min="3" max="4" width="20" style="232" customWidth="1"/>
    <col min="5" max="17" width="3.7109375" style="205" customWidth="1"/>
    <col min="18" max="16384" width="8.7109375" style="1079"/>
  </cols>
  <sheetData>
    <row r="1" spans="1:17" ht="15.6">
      <c r="A1" s="1144" t="s">
        <v>1372</v>
      </c>
      <c r="B1" s="1205"/>
      <c r="C1" s="1205"/>
      <c r="D1" s="1205"/>
    </row>
    <row r="2" spans="1:17" ht="11.25" customHeight="1">
      <c r="A2" s="346"/>
      <c r="B2" s="279"/>
      <c r="C2" s="347"/>
      <c r="D2" s="347"/>
    </row>
    <row r="3" spans="1:17" ht="11.25" customHeight="1">
      <c r="A3" s="346"/>
      <c r="B3" s="279"/>
      <c r="C3" s="347"/>
      <c r="D3" s="489" t="s">
        <v>1025</v>
      </c>
      <c r="E3" s="1012"/>
      <c r="F3" s="1012"/>
      <c r="G3" s="1012"/>
      <c r="H3" s="1012"/>
      <c r="I3" s="1012"/>
      <c r="J3" s="1012"/>
      <c r="K3" s="1012"/>
      <c r="L3" s="1012"/>
      <c r="M3" s="1012"/>
      <c r="N3" s="1012"/>
      <c r="O3" s="1012"/>
      <c r="P3" s="1012"/>
      <c r="Q3" s="1012"/>
    </row>
    <row r="4" spans="1:17">
      <c r="A4" s="1219" t="s">
        <v>740</v>
      </c>
      <c r="B4" s="1219"/>
      <c r="C4" s="650">
        <v>2018</v>
      </c>
      <c r="D4" s="309">
        <v>2017</v>
      </c>
    </row>
    <row r="5" spans="1:17">
      <c r="A5" s="1218" t="s">
        <v>457</v>
      </c>
      <c r="B5" s="1218"/>
      <c r="C5" s="618"/>
      <c r="D5" s="449"/>
    </row>
    <row r="6" spans="1:17">
      <c r="A6" s="1124" t="s">
        <v>1052</v>
      </c>
      <c r="B6" s="1124"/>
      <c r="C6" s="624">
        <v>-126</v>
      </c>
      <c r="D6" s="427">
        <v>-121</v>
      </c>
    </row>
    <row r="7" spans="1:17">
      <c r="A7" s="1124" t="s">
        <v>1053</v>
      </c>
      <c r="B7" s="1124"/>
      <c r="C7" s="624">
        <v>1</v>
      </c>
      <c r="D7" s="427">
        <v>-2</v>
      </c>
    </row>
    <row r="8" spans="1:17">
      <c r="A8" s="1203" t="s">
        <v>332</v>
      </c>
      <c r="B8" s="1203"/>
      <c r="C8" s="659"/>
      <c r="D8" s="427"/>
    </row>
    <row r="9" spans="1:17">
      <c r="A9" s="1124" t="s">
        <v>986</v>
      </c>
      <c r="B9" s="1124"/>
      <c r="C9" s="624">
        <v>10</v>
      </c>
      <c r="D9" s="427">
        <v>2</v>
      </c>
    </row>
    <row r="10" spans="1:17">
      <c r="A10" s="1141" t="s">
        <v>1416</v>
      </c>
      <c r="B10" s="1141"/>
      <c r="C10" s="649">
        <v>1</v>
      </c>
      <c r="D10" s="428">
        <v>4</v>
      </c>
    </row>
    <row r="11" spans="1:17">
      <c r="A11" s="1169" t="s">
        <v>620</v>
      </c>
      <c r="B11" s="1169"/>
      <c r="C11" s="626">
        <v>-116</v>
      </c>
      <c r="D11" s="526">
        <v>-117</v>
      </c>
    </row>
    <row r="12" spans="1:17" ht="10.5" customHeight="1">
      <c r="A12" s="977"/>
      <c r="B12" s="977"/>
      <c r="C12" s="905"/>
      <c r="D12" s="502"/>
    </row>
    <row r="13" spans="1:17" ht="10.5" customHeight="1">
      <c r="A13" s="1112" t="s">
        <v>1089</v>
      </c>
      <c r="B13" s="1112"/>
      <c r="C13" s="905"/>
      <c r="D13" s="502"/>
    </row>
    <row r="14" spans="1:17" ht="10.5" customHeight="1">
      <c r="A14" s="982"/>
      <c r="B14" s="982"/>
      <c r="C14" s="905"/>
      <c r="D14" s="502"/>
    </row>
    <row r="15" spans="1:17" ht="10.5" customHeight="1">
      <c r="A15" s="1203" t="s">
        <v>622</v>
      </c>
      <c r="B15" s="1203"/>
      <c r="C15" s="624">
        <v>502</v>
      </c>
      <c r="D15" s="427">
        <v>491</v>
      </c>
    </row>
    <row r="16" spans="1:17" ht="10.5" customHeight="1">
      <c r="A16" s="795"/>
      <c r="B16" s="455"/>
      <c r="C16" s="624"/>
      <c r="D16" s="427"/>
    </row>
    <row r="17" spans="1:4" ht="11.25" customHeight="1">
      <c r="A17" s="1159" t="s">
        <v>1213</v>
      </c>
      <c r="B17" s="1159"/>
      <c r="C17" s="624">
        <v>-100</v>
      </c>
      <c r="D17" s="427">
        <v>-98</v>
      </c>
    </row>
    <row r="18" spans="1:4" ht="11.25" customHeight="1">
      <c r="A18" s="1203" t="s">
        <v>993</v>
      </c>
      <c r="B18" s="1203"/>
      <c r="C18" s="624">
        <v>1</v>
      </c>
      <c r="D18" s="432">
        <v>4</v>
      </c>
    </row>
    <row r="19" spans="1:4" ht="11.25" customHeight="1">
      <c r="A19" s="1203" t="s">
        <v>324</v>
      </c>
      <c r="B19" s="1203"/>
      <c r="C19" s="624">
        <v>6</v>
      </c>
      <c r="D19" s="427">
        <v>4</v>
      </c>
    </row>
    <row r="20" spans="1:4" ht="11.25" customHeight="1">
      <c r="A20" s="1127" t="s">
        <v>1120</v>
      </c>
      <c r="B20" s="1127"/>
      <c r="C20" s="624">
        <v>2</v>
      </c>
      <c r="D20" s="427">
        <v>-3</v>
      </c>
    </row>
    <row r="21" spans="1:4" ht="11.25" customHeight="1">
      <c r="A21" s="1127" t="s">
        <v>1119</v>
      </c>
      <c r="B21" s="1127"/>
      <c r="C21" s="624">
        <v>3</v>
      </c>
      <c r="D21" s="759">
        <v>3</v>
      </c>
    </row>
    <row r="22" spans="1:4" ht="11.25" customHeight="1">
      <c r="A22" s="1220" t="s">
        <v>285</v>
      </c>
      <c r="B22" s="1220"/>
      <c r="C22" s="624"/>
      <c r="D22" s="841">
        <v>4</v>
      </c>
    </row>
    <row r="23" spans="1:4" ht="11.25" customHeight="1">
      <c r="A23" s="1221" t="s">
        <v>869</v>
      </c>
      <c r="B23" s="1221"/>
      <c r="C23" s="624">
        <v>-17</v>
      </c>
      <c r="D23" s="841">
        <v>-14</v>
      </c>
    </row>
    <row r="24" spans="1:4" ht="11.25" customHeight="1">
      <c r="A24" s="1221" t="s">
        <v>933</v>
      </c>
      <c r="B24" s="1221"/>
      <c r="C24" s="624">
        <v>-10</v>
      </c>
      <c r="D24" s="841">
        <v>-14</v>
      </c>
    </row>
    <row r="25" spans="1:4" ht="11.25" customHeight="1">
      <c r="A25" s="1221" t="s">
        <v>870</v>
      </c>
      <c r="B25" s="1221"/>
      <c r="C25" s="624">
        <v>-1</v>
      </c>
      <c r="D25" s="841">
        <v>-1</v>
      </c>
    </row>
    <row r="26" spans="1:4" ht="11.25" customHeight="1">
      <c r="A26" s="1217" t="s">
        <v>871</v>
      </c>
      <c r="B26" s="1217"/>
      <c r="C26" s="649">
        <v>1</v>
      </c>
      <c r="D26" s="760">
        <v>-2</v>
      </c>
    </row>
    <row r="27" spans="1:4" ht="11.25" customHeight="1">
      <c r="A27" s="1169" t="s">
        <v>844</v>
      </c>
      <c r="B27" s="1169"/>
      <c r="C27" s="626">
        <v>-116</v>
      </c>
      <c r="D27" s="526">
        <v>-117</v>
      </c>
    </row>
    <row r="28" spans="1:4">
      <c r="A28" s="441"/>
      <c r="B28" s="441"/>
      <c r="C28" s="660"/>
      <c r="D28" s="457"/>
    </row>
    <row r="29" spans="1:4">
      <c r="A29" s="1222" t="s">
        <v>954</v>
      </c>
      <c r="B29" s="1222"/>
      <c r="C29" s="661">
        <v>23.1</v>
      </c>
      <c r="D29" s="458">
        <v>23.7</v>
      </c>
    </row>
    <row r="30" spans="1:4">
      <c r="A30" s="714"/>
    </row>
    <row r="31" spans="1:4">
      <c r="A31" s="1206" t="s">
        <v>1415</v>
      </c>
      <c r="B31" s="1206"/>
      <c r="C31" s="1206"/>
      <c r="D31" s="1206"/>
    </row>
    <row r="33" spans="1:4" ht="22.5" customHeight="1">
      <c r="A33" s="1187" t="s">
        <v>1528</v>
      </c>
      <c r="B33" s="1187"/>
      <c r="C33" s="1187"/>
      <c r="D33" s="1187"/>
    </row>
    <row r="34" spans="1:4" ht="11.25" customHeight="1">
      <c r="A34" s="1198"/>
      <c r="B34" s="1198"/>
      <c r="C34" s="1198"/>
      <c r="D34" s="1198"/>
    </row>
    <row r="35" spans="1:4" ht="11.25" customHeight="1">
      <c r="A35" s="1198" t="s">
        <v>1121</v>
      </c>
      <c r="B35" s="1198"/>
      <c r="C35" s="1198"/>
      <c r="D35" s="1198"/>
    </row>
    <row r="37" spans="1:4">
      <c r="A37" s="1148"/>
      <c r="B37" s="1148"/>
      <c r="C37" s="1148"/>
      <c r="D37" s="1148"/>
    </row>
  </sheetData>
  <mergeCells count="28">
    <mergeCell ref="A37:D37"/>
    <mergeCell ref="A13:B13"/>
    <mergeCell ref="A20:B20"/>
    <mergeCell ref="A22:B22"/>
    <mergeCell ref="A23:B23"/>
    <mergeCell ref="A24:B24"/>
    <mergeCell ref="A27:B27"/>
    <mergeCell ref="A21:B21"/>
    <mergeCell ref="A29:B29"/>
    <mergeCell ref="A35:D35"/>
    <mergeCell ref="A15:B15"/>
    <mergeCell ref="A34:D34"/>
    <mergeCell ref="A17:B17"/>
    <mergeCell ref="A18:B18"/>
    <mergeCell ref="A19:B19"/>
    <mergeCell ref="A25:B25"/>
    <mergeCell ref="A31:D31"/>
    <mergeCell ref="A33:D33"/>
    <mergeCell ref="A26:B26"/>
    <mergeCell ref="A1:D1"/>
    <mergeCell ref="A5:B5"/>
    <mergeCell ref="A8:B8"/>
    <mergeCell ref="A11:B11"/>
    <mergeCell ref="A4:B4"/>
    <mergeCell ref="A6:B6"/>
    <mergeCell ref="A7:B7"/>
    <mergeCell ref="A9:B9"/>
    <mergeCell ref="A10:B10"/>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dimension ref="A1:Q25"/>
  <sheetViews>
    <sheetView zoomScaleNormal="100" workbookViewId="0">
      <selection sqref="A1:D1"/>
    </sheetView>
  </sheetViews>
  <sheetFormatPr defaultColWidth="8.7109375" defaultRowHeight="10.199999999999999"/>
  <cols>
    <col min="1" max="1" width="2.42578125" style="225" customWidth="1"/>
    <col min="2" max="2" width="87.42578125" style="225" customWidth="1"/>
    <col min="3" max="4" width="20" style="232" customWidth="1"/>
    <col min="5" max="17" width="3.7109375" style="205" customWidth="1"/>
    <col min="18" max="16384" width="8.7109375" style="1079"/>
  </cols>
  <sheetData>
    <row r="1" spans="1:17" ht="15.75" customHeight="1">
      <c r="A1" s="1223" t="s">
        <v>1373</v>
      </c>
      <c r="B1" s="1224"/>
      <c r="C1" s="1224"/>
      <c r="D1" s="1224"/>
    </row>
    <row r="2" spans="1:17">
      <c r="A2" s="344"/>
      <c r="B2" s="293"/>
      <c r="C2" s="295"/>
      <c r="D2" s="295"/>
    </row>
    <row r="3" spans="1:17" ht="23.25" customHeight="1">
      <c r="A3" s="1225" t="s">
        <v>1274</v>
      </c>
      <c r="B3" s="1226"/>
      <c r="C3" s="1226"/>
      <c r="D3" s="1226"/>
    </row>
    <row r="4" spans="1:17">
      <c r="A4" s="293"/>
      <c r="B4" s="293"/>
      <c r="C4" s="345"/>
      <c r="D4" s="345"/>
    </row>
    <row r="5" spans="1:17">
      <c r="A5" s="293"/>
      <c r="B5" s="293"/>
      <c r="C5" s="345"/>
      <c r="D5" s="489" t="s">
        <v>1025</v>
      </c>
      <c r="E5" s="1012"/>
      <c r="F5" s="1012"/>
      <c r="G5" s="1012"/>
      <c r="H5" s="1012"/>
      <c r="I5" s="1012"/>
      <c r="J5" s="1012"/>
      <c r="K5" s="1012"/>
      <c r="L5" s="1012"/>
      <c r="M5" s="1012"/>
      <c r="N5" s="1012"/>
      <c r="O5" s="1012"/>
      <c r="P5" s="1012"/>
      <c r="Q5" s="1012"/>
    </row>
    <row r="6" spans="1:17">
      <c r="A6" s="1182" t="s">
        <v>740</v>
      </c>
      <c r="B6" s="1227"/>
      <c r="C6" s="662">
        <v>2018</v>
      </c>
      <c r="D6" s="547">
        <v>2017</v>
      </c>
    </row>
    <row r="7" spans="1:17" ht="11.25" customHeight="1">
      <c r="A7" s="1125" t="s">
        <v>1417</v>
      </c>
      <c r="B7" s="1125"/>
      <c r="C7" s="630">
        <v>386</v>
      </c>
      <c r="D7" s="502">
        <v>375</v>
      </c>
    </row>
    <row r="8" spans="1:17">
      <c r="A8" s="523"/>
      <c r="B8" s="523"/>
      <c r="C8" s="639"/>
      <c r="D8" s="499"/>
    </row>
    <row r="9" spans="1:17">
      <c r="A9" s="1125" t="s">
        <v>438</v>
      </c>
      <c r="B9" s="1125"/>
      <c r="C9" s="639"/>
      <c r="D9" s="499"/>
    </row>
    <row r="10" spans="1:17">
      <c r="A10" s="1124" t="s">
        <v>1122</v>
      </c>
      <c r="B10" s="1124"/>
      <c r="C10" s="630">
        <v>591723</v>
      </c>
      <c r="D10" s="502">
        <v>591723</v>
      </c>
    </row>
    <row r="11" spans="1:17">
      <c r="A11" s="523"/>
      <c r="B11" s="523"/>
      <c r="C11" s="639"/>
      <c r="D11" s="499"/>
    </row>
    <row r="12" spans="1:17">
      <c r="A12" s="1121" t="s">
        <v>1086</v>
      </c>
      <c r="B12" s="1121"/>
      <c r="C12" s="725"/>
      <c r="D12" s="474"/>
    </row>
    <row r="13" spans="1:17" ht="11.25" customHeight="1">
      <c r="A13" s="1109" t="s">
        <v>1190</v>
      </c>
      <c r="B13" s="1109"/>
      <c r="C13" s="726">
        <v>0.65</v>
      </c>
      <c r="D13" s="727">
        <v>0.63</v>
      </c>
    </row>
    <row r="14" spans="1:17">
      <c r="A14" s="219"/>
      <c r="B14" s="293"/>
      <c r="C14" s="301"/>
      <c r="D14" s="295"/>
    </row>
    <row r="15" spans="1:17" ht="11.25" customHeight="1">
      <c r="A15" s="1198" t="s">
        <v>1562</v>
      </c>
      <c r="B15" s="1198"/>
      <c r="C15" s="1198"/>
      <c r="D15" s="1198"/>
    </row>
    <row r="17" spans="1:4">
      <c r="A17" s="1198" t="s">
        <v>1442</v>
      </c>
      <c r="B17" s="1198"/>
      <c r="C17" s="1198"/>
      <c r="D17" s="1198"/>
    </row>
    <row r="25" spans="1:4">
      <c r="B25" s="228"/>
    </row>
  </sheetData>
  <mergeCells count="10">
    <mergeCell ref="A17:D17"/>
    <mergeCell ref="A15:D15"/>
    <mergeCell ref="A1:D1"/>
    <mergeCell ref="A9:B9"/>
    <mergeCell ref="A3:D3"/>
    <mergeCell ref="A7:B7"/>
    <mergeCell ref="A6:B6"/>
    <mergeCell ref="A12:B12"/>
    <mergeCell ref="A10:B10"/>
    <mergeCell ref="A13:B13"/>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6"/>
  <dimension ref="A1:F82"/>
  <sheetViews>
    <sheetView zoomScaleNormal="100" workbookViewId="0">
      <selection sqref="A1:F1"/>
    </sheetView>
  </sheetViews>
  <sheetFormatPr defaultColWidth="8.7109375" defaultRowHeight="10.199999999999999"/>
  <cols>
    <col min="1" max="1" width="63.28515625" style="205" customWidth="1"/>
    <col min="2" max="6" width="13.28515625" style="205" customWidth="1"/>
    <col min="7" max="17" width="3.7109375" style="1079" customWidth="1"/>
    <col min="18" max="16384" width="8.7109375" style="1079"/>
  </cols>
  <sheetData>
    <row r="1" spans="1:6" ht="15.75" customHeight="1">
      <c r="A1" s="1144" t="s">
        <v>1374</v>
      </c>
      <c r="B1" s="1144"/>
      <c r="C1" s="1144"/>
      <c r="D1" s="1144"/>
      <c r="E1" s="1144"/>
      <c r="F1" s="1144"/>
    </row>
    <row r="2" spans="1:6" ht="11.25" customHeight="1">
      <c r="A2" s="310"/>
      <c r="B2" s="311"/>
      <c r="C2" s="311"/>
      <c r="D2" s="311"/>
      <c r="E2" s="311"/>
      <c r="F2" s="311"/>
    </row>
    <row r="3" spans="1:6" ht="11.25" customHeight="1">
      <c r="A3" s="1189" t="s">
        <v>311</v>
      </c>
      <c r="B3" s="1234"/>
      <c r="C3" s="1234"/>
      <c r="D3" s="1234"/>
      <c r="E3" s="1234"/>
      <c r="F3" s="1234"/>
    </row>
    <row r="4" spans="1:6" ht="11.25" customHeight="1">
      <c r="A4" s="891"/>
      <c r="B4" s="892"/>
      <c r="C4" s="892"/>
      <c r="D4" s="892"/>
      <c r="E4" s="892"/>
      <c r="F4" s="892"/>
    </row>
    <row r="5" spans="1:6" ht="11.25" customHeight="1">
      <c r="A5" s="1189" t="s">
        <v>1328</v>
      </c>
      <c r="B5" s="1234"/>
      <c r="C5" s="1234"/>
      <c r="D5" s="1234"/>
      <c r="E5" s="1234"/>
      <c r="F5" s="1234"/>
    </row>
    <row r="6" spans="1:6" ht="11.25" customHeight="1">
      <c r="A6" s="952"/>
      <c r="B6" s="953"/>
      <c r="C6" s="953"/>
      <c r="D6" s="953"/>
      <c r="E6" s="953"/>
      <c r="F6" s="953"/>
    </row>
    <row r="7" spans="1:6" ht="45" customHeight="1">
      <c r="A7" s="1187" t="s">
        <v>1418</v>
      </c>
      <c r="B7" s="1187"/>
      <c r="C7" s="1187"/>
      <c r="D7" s="1187"/>
      <c r="E7" s="1187"/>
      <c r="F7" s="1187"/>
    </row>
    <row r="8" spans="1:6" ht="11.25" customHeight="1">
      <c r="A8" s="310"/>
      <c r="B8" s="221"/>
      <c r="C8" s="221"/>
      <c r="D8" s="221"/>
      <c r="E8" s="221"/>
      <c r="F8" s="221"/>
    </row>
    <row r="9" spans="1:6" ht="12" customHeight="1">
      <c r="A9" s="1189" t="s">
        <v>1322</v>
      </c>
      <c r="B9" s="1190"/>
      <c r="C9" s="1190"/>
      <c r="D9" s="1190"/>
      <c r="E9" s="1190"/>
      <c r="F9" s="1190"/>
    </row>
    <row r="10" spans="1:6" ht="11.25" customHeight="1">
      <c r="A10" s="310"/>
      <c r="B10" s="221"/>
      <c r="C10" s="221"/>
      <c r="D10" s="221"/>
      <c r="E10" s="1235"/>
      <c r="F10" s="1235"/>
    </row>
    <row r="11" spans="1:6" ht="11.25" customHeight="1">
      <c r="A11" s="524" t="s">
        <v>740</v>
      </c>
      <c r="B11" s="554"/>
      <c r="C11" s="554"/>
      <c r="D11" s="554"/>
      <c r="E11" s="662">
        <v>2018</v>
      </c>
      <c r="F11" s="547">
        <v>2017</v>
      </c>
    </row>
    <row r="12" spans="1:6" ht="11.25" customHeight="1">
      <c r="A12" s="522" t="s">
        <v>1476</v>
      </c>
      <c r="B12" s="499"/>
      <c r="C12" s="499"/>
      <c r="D12" s="499"/>
      <c r="E12" s="663">
        <v>1237</v>
      </c>
      <c r="F12" s="553">
        <v>1112</v>
      </c>
    </row>
    <row r="13" spans="1:6" ht="11.25" customHeight="1">
      <c r="A13" s="1076" t="s">
        <v>1557</v>
      </c>
      <c r="B13" s="499"/>
      <c r="C13" s="499"/>
      <c r="D13" s="499"/>
      <c r="E13" s="663">
        <v>113</v>
      </c>
      <c r="F13" s="553">
        <v>157</v>
      </c>
    </row>
    <row r="14" spans="1:6" ht="11.25" customHeight="1">
      <c r="A14" s="809" t="s">
        <v>698</v>
      </c>
      <c r="B14" s="499"/>
      <c r="C14" s="499"/>
      <c r="D14" s="499"/>
      <c r="E14" s="663"/>
      <c r="F14" s="553">
        <v>1</v>
      </c>
    </row>
    <row r="15" spans="1:6" ht="11.25" customHeight="1">
      <c r="A15" s="890" t="s">
        <v>1477</v>
      </c>
      <c r="B15" s="479"/>
      <c r="C15" s="479"/>
      <c r="D15" s="479"/>
      <c r="E15" s="664">
        <v>4</v>
      </c>
      <c r="F15" s="544">
        <v>-33</v>
      </c>
    </row>
    <row r="16" spans="1:6" ht="11.25" customHeight="1">
      <c r="A16" s="530" t="s">
        <v>620</v>
      </c>
      <c r="B16" s="545"/>
      <c r="C16" s="545"/>
      <c r="D16" s="545"/>
      <c r="E16" s="626">
        <v>1355</v>
      </c>
      <c r="F16" s="541">
        <v>1237</v>
      </c>
    </row>
    <row r="17" spans="1:6" ht="11.25" customHeight="1">
      <c r="A17" s="299"/>
      <c r="B17" s="221"/>
      <c r="C17" s="221"/>
      <c r="D17" s="221"/>
      <c r="E17" s="262"/>
      <c r="F17" s="221"/>
    </row>
    <row r="18" spans="1:6" ht="11.25" customHeight="1">
      <c r="A18" s="1189" t="s">
        <v>728</v>
      </c>
      <c r="B18" s="1189"/>
      <c r="C18" s="1189"/>
      <c r="D18" s="1189"/>
      <c r="E18" s="1189"/>
      <c r="F18" s="1189"/>
    </row>
    <row r="19" spans="1:6" ht="11.25" customHeight="1">
      <c r="A19" s="950"/>
      <c r="B19" s="950"/>
      <c r="C19" s="950"/>
      <c r="D19" s="950"/>
      <c r="E19" s="950"/>
      <c r="F19" s="950"/>
    </row>
    <row r="20" spans="1:6" ht="22.5" customHeight="1">
      <c r="A20" s="1187" t="s">
        <v>1349</v>
      </c>
      <c r="B20" s="1187"/>
      <c r="C20" s="1187"/>
      <c r="D20" s="1187"/>
      <c r="E20" s="1187"/>
      <c r="F20" s="1187"/>
    </row>
    <row r="21" spans="1:6" ht="11.25" customHeight="1">
      <c r="A21" s="293"/>
      <c r="B21" s="221"/>
      <c r="C21" s="221"/>
      <c r="D21" s="221"/>
      <c r="E21" s="221"/>
      <c r="F21" s="221"/>
    </row>
    <row r="22" spans="1:6" ht="69" customHeight="1">
      <c r="A22" s="1187" t="s">
        <v>1329</v>
      </c>
      <c r="B22" s="1187"/>
      <c r="C22" s="1187"/>
      <c r="D22" s="1187"/>
      <c r="E22" s="1187"/>
      <c r="F22" s="1187"/>
    </row>
    <row r="23" spans="1:6" ht="11.25" customHeight="1">
      <c r="A23" s="293"/>
      <c r="B23" s="221"/>
      <c r="C23" s="221"/>
      <c r="D23" s="221"/>
      <c r="E23" s="221"/>
      <c r="F23" s="221"/>
    </row>
    <row r="24" spans="1:6" ht="53.4" customHeight="1">
      <c r="A24" s="1187" t="s">
        <v>1194</v>
      </c>
      <c r="B24" s="1187"/>
      <c r="C24" s="1187"/>
      <c r="D24" s="1187"/>
      <c r="E24" s="1187"/>
      <c r="F24" s="1187"/>
    </row>
    <row r="25" spans="1:6" ht="11.25" customHeight="1">
      <c r="A25" s="293"/>
      <c r="B25" s="221"/>
      <c r="C25" s="221"/>
      <c r="D25" s="221"/>
      <c r="E25" s="221"/>
      <c r="F25" s="221"/>
    </row>
    <row r="26" spans="1:6" ht="33.75" customHeight="1">
      <c r="A26" s="1187" t="s">
        <v>1478</v>
      </c>
      <c r="B26" s="1187"/>
      <c r="C26" s="1187"/>
      <c r="D26" s="1187"/>
      <c r="E26" s="1187"/>
      <c r="F26" s="1187"/>
    </row>
    <row r="27" spans="1:6" ht="11.25" customHeight="1">
      <c r="A27" s="293"/>
      <c r="B27" s="221"/>
      <c r="C27" s="221"/>
      <c r="D27" s="221"/>
      <c r="E27" s="221"/>
      <c r="F27" s="221"/>
    </row>
    <row r="28" spans="1:6" ht="22.5" customHeight="1">
      <c r="A28" s="1187" t="s">
        <v>1598</v>
      </c>
      <c r="B28" s="1188"/>
      <c r="C28" s="1188"/>
      <c r="D28" s="1188"/>
      <c r="E28" s="1188"/>
      <c r="F28" s="1188"/>
    </row>
    <row r="29" spans="1:6" ht="11.25" customHeight="1">
      <c r="A29" s="312"/>
      <c r="B29" s="313"/>
      <c r="C29" s="313"/>
      <c r="D29" s="313"/>
      <c r="E29" s="313"/>
      <c r="F29" s="313"/>
    </row>
    <row r="30" spans="1:6" ht="11.25" customHeight="1">
      <c r="A30" s="1233" t="s">
        <v>284</v>
      </c>
      <c r="B30" s="1233"/>
      <c r="C30" s="1233"/>
      <c r="D30" s="1233"/>
      <c r="E30" s="1233"/>
      <c r="F30" s="1233"/>
    </row>
    <row r="31" spans="1:6" ht="11.25" customHeight="1">
      <c r="A31" s="951"/>
      <c r="B31" s="951"/>
      <c r="C31" s="951"/>
      <c r="D31" s="951"/>
      <c r="E31" s="951"/>
      <c r="F31" s="951"/>
    </row>
    <row r="32" spans="1:6" ht="45" customHeight="1">
      <c r="A32" s="1187" t="s">
        <v>1330</v>
      </c>
      <c r="B32" s="1188"/>
      <c r="C32" s="1188"/>
      <c r="D32" s="1188"/>
      <c r="E32" s="1188"/>
      <c r="F32" s="1188"/>
    </row>
    <row r="33" spans="1:6" ht="11.25" customHeight="1">
      <c r="A33" s="314"/>
      <c r="B33" s="315"/>
      <c r="C33" s="315"/>
      <c r="D33" s="315"/>
      <c r="E33" s="315"/>
      <c r="F33" s="315"/>
    </row>
    <row r="34" spans="1:6" ht="11.25" customHeight="1">
      <c r="A34" s="910"/>
      <c r="B34" s="599"/>
      <c r="C34" s="912"/>
      <c r="D34" s="912"/>
      <c r="E34" s="1230" t="s">
        <v>1046</v>
      </c>
      <c r="F34" s="1230"/>
    </row>
    <row r="35" spans="1:6" ht="11.25" customHeight="1">
      <c r="A35" s="969" t="s">
        <v>1339</v>
      </c>
      <c r="B35" s="549"/>
      <c r="C35" s="1228" t="s">
        <v>1479</v>
      </c>
      <c r="D35" s="1228"/>
      <c r="E35" s="1228"/>
      <c r="F35" s="1228"/>
    </row>
    <row r="36" spans="1:6" ht="11.25" customHeight="1">
      <c r="A36" s="969" t="s">
        <v>1340</v>
      </c>
      <c r="B36" s="549"/>
      <c r="C36" s="1231" t="s">
        <v>1480</v>
      </c>
      <c r="D36" s="1231"/>
      <c r="E36" s="1231"/>
      <c r="F36" s="1231"/>
    </row>
    <row r="37" spans="1:6" ht="11.25" customHeight="1">
      <c r="A37" s="969" t="s">
        <v>1341</v>
      </c>
      <c r="B37" s="549"/>
      <c r="C37" s="1232" t="s">
        <v>1657</v>
      </c>
      <c r="D37" s="1232"/>
      <c r="E37" s="1232"/>
      <c r="F37" s="1232"/>
    </row>
    <row r="38" spans="1:6" ht="11.25" customHeight="1">
      <c r="A38" s="316"/>
      <c r="B38" s="315"/>
      <c r="C38" s="315"/>
      <c r="D38" s="315"/>
      <c r="E38" s="315"/>
      <c r="F38" s="315"/>
    </row>
    <row r="39" spans="1:6" ht="24.75" customHeight="1">
      <c r="A39" s="1187" t="s">
        <v>1055</v>
      </c>
      <c r="B39" s="1188"/>
      <c r="C39" s="1188"/>
      <c r="D39" s="1188"/>
      <c r="E39" s="1188"/>
      <c r="F39" s="1188"/>
    </row>
    <row r="40" spans="1:6" ht="11.25" customHeight="1">
      <c r="A40" s="293"/>
      <c r="B40" s="221"/>
      <c r="C40" s="221"/>
      <c r="D40" s="221"/>
      <c r="E40" s="221"/>
      <c r="F40" s="221"/>
    </row>
    <row r="41" spans="1:6" ht="11.25" customHeight="1">
      <c r="A41" s="310"/>
      <c r="B41" s="221"/>
      <c r="C41" s="221"/>
      <c r="D41" s="221"/>
      <c r="E41" s="221"/>
      <c r="F41" s="221"/>
    </row>
    <row r="42" spans="1:6" ht="12.75" customHeight="1">
      <c r="A42" s="959">
        <v>2018</v>
      </c>
      <c r="B42" s="318"/>
      <c r="C42" s="318"/>
      <c r="D42" s="318"/>
      <c r="E42" s="318"/>
      <c r="F42" s="318"/>
    </row>
    <row r="43" spans="1:6" ht="67.5" customHeight="1">
      <c r="A43" s="304" t="s">
        <v>740</v>
      </c>
      <c r="B43" s="761" t="s">
        <v>1419</v>
      </c>
      <c r="C43" s="761" t="s">
        <v>1293</v>
      </c>
      <c r="D43" s="665" t="s">
        <v>137</v>
      </c>
      <c r="E43" s="665" t="s">
        <v>311</v>
      </c>
      <c r="F43" s="665" t="s">
        <v>620</v>
      </c>
    </row>
    <row r="44" spans="1:6" ht="11.25" customHeight="1">
      <c r="A44" s="472" t="s">
        <v>1434</v>
      </c>
      <c r="B44" s="630">
        <v>142</v>
      </c>
      <c r="C44" s="630">
        <v>21</v>
      </c>
      <c r="D44" s="630">
        <v>783</v>
      </c>
      <c r="E44" s="630">
        <v>1243</v>
      </c>
      <c r="F44" s="630">
        <v>2189</v>
      </c>
    </row>
    <row r="45" spans="1:6" ht="11.25" customHeight="1">
      <c r="A45" s="472" t="s">
        <v>316</v>
      </c>
      <c r="B45" s="630"/>
      <c r="C45" s="630"/>
      <c r="D45" s="630">
        <v>-2</v>
      </c>
      <c r="E45" s="630">
        <v>4</v>
      </c>
      <c r="F45" s="630">
        <v>2</v>
      </c>
    </row>
    <row r="46" spans="1:6" ht="11.25" customHeight="1">
      <c r="A46" s="472" t="s">
        <v>1557</v>
      </c>
      <c r="B46" s="630">
        <v>-2</v>
      </c>
      <c r="C46" s="630">
        <v>10</v>
      </c>
      <c r="D46" s="630">
        <v>66</v>
      </c>
      <c r="E46" s="630">
        <v>113</v>
      </c>
      <c r="F46" s="630">
        <v>187</v>
      </c>
    </row>
    <row r="47" spans="1:6" ht="11.25" customHeight="1">
      <c r="A47" s="472" t="s">
        <v>841</v>
      </c>
      <c r="B47" s="630">
        <v>2</v>
      </c>
      <c r="C47" s="630">
        <v>35</v>
      </c>
      <c r="D47" s="630">
        <v>8</v>
      </c>
      <c r="E47" s="630">
        <v>1</v>
      </c>
      <c r="F47" s="630">
        <v>45</v>
      </c>
    </row>
    <row r="48" spans="1:6" ht="11.25" customHeight="1">
      <c r="A48" s="472" t="s">
        <v>1318</v>
      </c>
      <c r="B48" s="630"/>
      <c r="C48" s="630"/>
      <c r="D48" s="630">
        <v>-12</v>
      </c>
      <c r="E48" s="630">
        <v>-1</v>
      </c>
      <c r="F48" s="630">
        <v>-13</v>
      </c>
    </row>
    <row r="49" spans="1:6" ht="11.25" customHeight="1">
      <c r="A49" s="550" t="s">
        <v>1079</v>
      </c>
      <c r="B49" s="625"/>
      <c r="C49" s="625">
        <v>-13</v>
      </c>
      <c r="D49" s="625">
        <v>13</v>
      </c>
      <c r="E49" s="625"/>
      <c r="F49" s="625"/>
    </row>
    <row r="50" spans="1:6" ht="11.25" customHeight="1">
      <c r="A50" s="716" t="s">
        <v>1435</v>
      </c>
      <c r="B50" s="630">
        <v>141</v>
      </c>
      <c r="C50" s="630">
        <v>53</v>
      </c>
      <c r="D50" s="630">
        <v>857</v>
      </c>
      <c r="E50" s="630">
        <v>1361</v>
      </c>
      <c r="F50" s="630">
        <v>2411</v>
      </c>
    </row>
    <row r="51" spans="1:6" ht="11.25" customHeight="1">
      <c r="A51" s="472"/>
      <c r="B51" s="630"/>
      <c r="C51" s="630"/>
      <c r="D51" s="630"/>
      <c r="E51" s="630"/>
      <c r="F51" s="630"/>
    </row>
    <row r="52" spans="1:6" ht="11.25" customHeight="1">
      <c r="A52" s="549" t="s">
        <v>1436</v>
      </c>
      <c r="B52" s="630">
        <v>-85</v>
      </c>
      <c r="C52" s="630"/>
      <c r="D52" s="630">
        <v>-521</v>
      </c>
      <c r="E52" s="630">
        <v>-6</v>
      </c>
      <c r="F52" s="630">
        <v>-612</v>
      </c>
    </row>
    <row r="53" spans="1:6" ht="11.25" customHeight="1">
      <c r="A53" s="472" t="s">
        <v>316</v>
      </c>
      <c r="B53" s="630"/>
      <c r="C53" s="630"/>
      <c r="D53" s="630">
        <v>1</v>
      </c>
      <c r="E53" s="630"/>
      <c r="F53" s="630">
        <v>1</v>
      </c>
    </row>
    <row r="54" spans="1:6" ht="11.25" customHeight="1">
      <c r="A54" s="1061" t="s">
        <v>955</v>
      </c>
      <c r="B54" s="630">
        <v>2</v>
      </c>
      <c r="C54" s="630"/>
      <c r="D54" s="630">
        <v>12</v>
      </c>
      <c r="E54" s="630">
        <v>1</v>
      </c>
      <c r="F54" s="630">
        <v>15</v>
      </c>
    </row>
    <row r="55" spans="1:6" ht="11.25" customHeight="1">
      <c r="A55" s="741" t="s">
        <v>606</v>
      </c>
      <c r="B55" s="630">
        <v>-11</v>
      </c>
      <c r="C55" s="630"/>
      <c r="D55" s="630">
        <v>-55</v>
      </c>
      <c r="E55" s="630"/>
      <c r="F55" s="630">
        <v>-66</v>
      </c>
    </row>
    <row r="56" spans="1:6" ht="11.25" customHeight="1">
      <c r="A56" s="550" t="s">
        <v>704</v>
      </c>
      <c r="B56" s="625"/>
      <c r="C56" s="625"/>
      <c r="D56" s="625">
        <v>-1</v>
      </c>
      <c r="E56" s="625">
        <v>-1</v>
      </c>
      <c r="F56" s="625">
        <v>-2</v>
      </c>
    </row>
    <row r="57" spans="1:6" ht="11.25" customHeight="1">
      <c r="A57" s="717" t="s">
        <v>1437</v>
      </c>
      <c r="B57" s="630">
        <v>-94</v>
      </c>
      <c r="C57" s="630"/>
      <c r="D57" s="630">
        <v>-565</v>
      </c>
      <c r="E57" s="630">
        <v>-6</v>
      </c>
      <c r="F57" s="630">
        <v>-665</v>
      </c>
    </row>
    <row r="58" spans="1:6" ht="11.25" customHeight="1">
      <c r="A58" s="550"/>
      <c r="B58" s="666"/>
      <c r="C58" s="900"/>
      <c r="D58" s="900"/>
      <c r="E58" s="900"/>
      <c r="F58" s="625"/>
    </row>
    <row r="59" spans="1:6" ht="11.25" customHeight="1">
      <c r="A59" s="527" t="s">
        <v>1438</v>
      </c>
      <c r="B59" s="626">
        <v>47</v>
      </c>
      <c r="C59" s="626">
        <v>53</v>
      </c>
      <c r="D59" s="626">
        <v>292</v>
      </c>
      <c r="E59" s="626">
        <v>1355</v>
      </c>
      <c r="F59" s="626">
        <v>1747</v>
      </c>
    </row>
    <row r="60" spans="1:6" ht="11.25" customHeight="1">
      <c r="A60" s="320"/>
      <c r="B60" s="321"/>
      <c r="C60" s="321"/>
      <c r="D60" s="321"/>
      <c r="E60" s="321"/>
      <c r="F60" s="321"/>
    </row>
    <row r="61" spans="1:6" ht="45" customHeight="1">
      <c r="A61" s="1229" t="s">
        <v>1559</v>
      </c>
      <c r="B61" s="1188"/>
      <c r="C61" s="1188"/>
      <c r="D61" s="1188"/>
      <c r="E61" s="1188"/>
      <c r="F61" s="1188"/>
    </row>
    <row r="62" spans="1:6" ht="11.25" customHeight="1">
      <c r="A62" s="322"/>
      <c r="B62" s="319"/>
      <c r="C62" s="319"/>
      <c r="D62" s="319"/>
      <c r="E62" s="319"/>
      <c r="F62" s="319"/>
    </row>
    <row r="63" spans="1:6" ht="11.25" customHeight="1">
      <c r="A63" s="959">
        <v>2017</v>
      </c>
      <c r="B63" s="318"/>
      <c r="C63" s="318"/>
      <c r="D63" s="318"/>
      <c r="E63" s="318"/>
      <c r="F63" s="318"/>
    </row>
    <row r="64" spans="1:6" ht="66" customHeight="1">
      <c r="A64" s="304" t="s">
        <v>740</v>
      </c>
      <c r="B64" s="762" t="s">
        <v>1419</v>
      </c>
      <c r="C64" s="277" t="s">
        <v>1293</v>
      </c>
      <c r="D64" s="277" t="s">
        <v>137</v>
      </c>
      <c r="E64" s="277" t="s">
        <v>311</v>
      </c>
      <c r="F64" s="277" t="s">
        <v>620</v>
      </c>
    </row>
    <row r="65" spans="1:6" ht="11.25" customHeight="1">
      <c r="A65" s="795" t="s">
        <v>1312</v>
      </c>
      <c r="B65" s="502">
        <v>107</v>
      </c>
      <c r="C65" s="502">
        <v>41</v>
      </c>
      <c r="D65" s="502">
        <v>743</v>
      </c>
      <c r="E65" s="502">
        <v>1118</v>
      </c>
      <c r="F65" s="502">
        <v>2008</v>
      </c>
    </row>
    <row r="66" spans="1:6" ht="11.25" customHeight="1">
      <c r="A66" s="472" t="s">
        <v>316</v>
      </c>
      <c r="B66" s="502"/>
      <c r="C66" s="502"/>
      <c r="D66" s="502">
        <v>-15</v>
      </c>
      <c r="E66" s="502">
        <v>-33</v>
      </c>
      <c r="F66" s="502">
        <v>-49</v>
      </c>
    </row>
    <row r="67" spans="1:6" ht="11.25" customHeight="1">
      <c r="A67" s="795" t="s">
        <v>1051</v>
      </c>
      <c r="B67" s="502"/>
      <c r="C67" s="502"/>
      <c r="D67" s="502">
        <v>61</v>
      </c>
      <c r="E67" s="502">
        <v>157</v>
      </c>
      <c r="F67" s="502">
        <v>217</v>
      </c>
    </row>
    <row r="68" spans="1:6" ht="11.25" customHeight="1">
      <c r="A68" s="472" t="s">
        <v>841</v>
      </c>
      <c r="B68" s="502">
        <v>1</v>
      </c>
      <c r="C68" s="502">
        <v>19</v>
      </c>
      <c r="D68" s="502">
        <v>5</v>
      </c>
      <c r="E68" s="502"/>
      <c r="F68" s="502">
        <v>25</v>
      </c>
    </row>
    <row r="69" spans="1:6" ht="11.25" customHeight="1">
      <c r="A69" s="753" t="s">
        <v>1318</v>
      </c>
      <c r="B69" s="502"/>
      <c r="C69" s="502"/>
      <c r="D69" s="502">
        <v>-12</v>
      </c>
      <c r="E69" s="502">
        <v>1</v>
      </c>
      <c r="F69" s="502">
        <v>-12</v>
      </c>
    </row>
    <row r="70" spans="1:6" ht="11.25" customHeight="1">
      <c r="A70" s="752" t="s">
        <v>1079</v>
      </c>
      <c r="B70" s="480">
        <v>34</v>
      </c>
      <c r="C70" s="480">
        <v>-39</v>
      </c>
      <c r="D70" s="480">
        <v>5</v>
      </c>
      <c r="E70" s="480"/>
      <c r="F70" s="480"/>
    </row>
    <row r="71" spans="1:6" ht="11.25" customHeight="1">
      <c r="A71" s="716" t="s">
        <v>1313</v>
      </c>
      <c r="B71" s="502">
        <v>142</v>
      </c>
      <c r="C71" s="502">
        <v>21</v>
      </c>
      <c r="D71" s="502">
        <v>783</v>
      </c>
      <c r="E71" s="502">
        <v>1243</v>
      </c>
      <c r="F71" s="502">
        <v>2189</v>
      </c>
    </row>
    <row r="72" spans="1:6" ht="11.25" customHeight="1">
      <c r="A72" s="523"/>
      <c r="B72" s="548"/>
      <c r="C72" s="499"/>
      <c r="D72" s="499"/>
      <c r="E72" s="499"/>
      <c r="F72" s="499"/>
    </row>
    <row r="73" spans="1:6" ht="11.25" customHeight="1">
      <c r="A73" s="523" t="s">
        <v>1234</v>
      </c>
      <c r="B73" s="502">
        <v>-73</v>
      </c>
      <c r="C73" s="502"/>
      <c r="D73" s="502">
        <v>-495</v>
      </c>
      <c r="E73" s="502">
        <v>-5</v>
      </c>
      <c r="F73" s="502">
        <v>-574</v>
      </c>
    </row>
    <row r="74" spans="1:6" ht="11.25" customHeight="1">
      <c r="A74" s="472" t="s">
        <v>316</v>
      </c>
      <c r="B74" s="502"/>
      <c r="C74" s="502"/>
      <c r="D74" s="502">
        <v>9</v>
      </c>
      <c r="E74" s="502"/>
      <c r="F74" s="502">
        <v>10</v>
      </c>
    </row>
    <row r="75" spans="1:6" ht="11.25" customHeight="1">
      <c r="A75" s="472" t="s">
        <v>955</v>
      </c>
      <c r="B75" s="502"/>
      <c r="C75" s="502"/>
      <c r="D75" s="502">
        <v>12</v>
      </c>
      <c r="E75" s="502"/>
      <c r="F75" s="502">
        <v>12</v>
      </c>
    </row>
    <row r="76" spans="1:6" ht="11.25" customHeight="1">
      <c r="A76" s="846" t="s">
        <v>606</v>
      </c>
      <c r="B76" s="502">
        <v>-12</v>
      </c>
      <c r="C76" s="502"/>
      <c r="D76" s="502">
        <v>-48</v>
      </c>
      <c r="E76" s="502"/>
      <c r="F76" s="502">
        <v>-60</v>
      </c>
    </row>
    <row r="77" spans="1:6" ht="11.25" customHeight="1">
      <c r="A77" s="800" t="s">
        <v>704</v>
      </c>
      <c r="B77" s="480"/>
      <c r="C77" s="480"/>
      <c r="D77" s="480">
        <v>-1</v>
      </c>
      <c r="E77" s="480"/>
      <c r="F77" s="480">
        <v>-1</v>
      </c>
    </row>
    <row r="78" spans="1:6" ht="11.25" customHeight="1">
      <c r="A78" s="719" t="s">
        <v>1314</v>
      </c>
      <c r="B78" s="502">
        <v>-85</v>
      </c>
      <c r="C78" s="502"/>
      <c r="D78" s="502">
        <v>-521</v>
      </c>
      <c r="E78" s="502">
        <v>-6</v>
      </c>
      <c r="F78" s="502">
        <v>-612</v>
      </c>
    </row>
    <row r="79" spans="1:6" ht="11.25" customHeight="1">
      <c r="A79" s="550"/>
      <c r="B79" s="479"/>
      <c r="C79" s="479"/>
      <c r="D79" s="479"/>
      <c r="E79" s="479"/>
      <c r="F79" s="479"/>
    </row>
    <row r="80" spans="1:6" ht="11.25" customHeight="1">
      <c r="A80" s="539" t="s">
        <v>1315</v>
      </c>
      <c r="B80" s="526">
        <v>57</v>
      </c>
      <c r="C80" s="526">
        <v>21</v>
      </c>
      <c r="D80" s="526">
        <v>262</v>
      </c>
      <c r="E80" s="526">
        <v>1237</v>
      </c>
      <c r="F80" s="526">
        <v>1577</v>
      </c>
    </row>
    <row r="81" spans="1:6">
      <c r="A81" s="324"/>
      <c r="B81" s="207"/>
      <c r="C81" s="207"/>
      <c r="D81" s="207"/>
      <c r="E81" s="207"/>
      <c r="F81" s="207"/>
    </row>
    <row r="82" spans="1:6">
      <c r="A82" s="227"/>
      <c r="B82" s="207"/>
      <c r="C82" s="207"/>
      <c r="D82" s="207"/>
      <c r="E82" s="207"/>
      <c r="F82" s="207"/>
    </row>
  </sheetData>
  <mergeCells count="20">
    <mergeCell ref="A1:F1"/>
    <mergeCell ref="A3:F3"/>
    <mergeCell ref="A7:F7"/>
    <mergeCell ref="E10:F10"/>
    <mergeCell ref="A9:F9"/>
    <mergeCell ref="A5:F5"/>
    <mergeCell ref="C35:F35"/>
    <mergeCell ref="A18:F18"/>
    <mergeCell ref="A26:F26"/>
    <mergeCell ref="A61:F61"/>
    <mergeCell ref="A32:F32"/>
    <mergeCell ref="A39:F39"/>
    <mergeCell ref="E34:F34"/>
    <mergeCell ref="C36:F36"/>
    <mergeCell ref="C37:F37"/>
    <mergeCell ref="A20:F20"/>
    <mergeCell ref="A22:F22"/>
    <mergeCell ref="A24:F24"/>
    <mergeCell ref="A28:F28"/>
    <mergeCell ref="A30:F30"/>
  </mergeCells>
  <pageMargins left="0.70866141732283472" right="0.70866141732283472" top="0.74803149606299213" bottom="0.74803149606299213" header="0.31496062992125984" footer="0.31496062992125984"/>
  <pageSetup paperSize="9" scale="85" orientation="portrait" r:id="rId1"/>
  <rowBreaks count="1" manualBreakCount="1">
    <brk id="41" max="5" man="1"/>
  </rowBreaks>
  <customProperties>
    <customPr name="SheetOptions" r:id="rId2"/>
  </customProperties>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7"/>
  <dimension ref="A1:G44"/>
  <sheetViews>
    <sheetView zoomScaleNormal="100" workbookViewId="0">
      <selection sqref="A1:G1"/>
    </sheetView>
  </sheetViews>
  <sheetFormatPr defaultColWidth="8.7109375" defaultRowHeight="10.199999999999999"/>
  <cols>
    <col min="1" max="1" width="61" style="205" customWidth="1"/>
    <col min="2" max="7" width="11.42578125" style="205" customWidth="1"/>
    <col min="8" max="17" width="3.7109375" style="1079" customWidth="1"/>
    <col min="18" max="16384" width="8.7109375" style="1079"/>
  </cols>
  <sheetData>
    <row r="1" spans="1:7" ht="15.75" customHeight="1">
      <c r="A1" s="1151" t="s">
        <v>1375</v>
      </c>
      <c r="B1" s="1236"/>
      <c r="C1" s="1236"/>
      <c r="D1" s="1236"/>
      <c r="E1" s="1236"/>
      <c r="F1" s="1236"/>
      <c r="G1" s="1236"/>
    </row>
    <row r="2" spans="1:7" ht="11.25" customHeight="1">
      <c r="A2" s="310"/>
      <c r="B2" s="326"/>
      <c r="C2" s="326"/>
      <c r="D2" s="326"/>
      <c r="E2" s="326"/>
      <c r="F2" s="326"/>
      <c r="G2" s="326"/>
    </row>
    <row r="3" spans="1:7" ht="12.75" customHeight="1">
      <c r="A3" s="954">
        <v>2018</v>
      </c>
      <c r="B3" s="327"/>
      <c r="C3" s="327"/>
      <c r="D3" s="327"/>
      <c r="E3" s="328"/>
      <c r="F3" s="327"/>
      <c r="G3" s="327"/>
    </row>
    <row r="4" spans="1:7" ht="67.5" customHeight="1">
      <c r="A4" s="524" t="s">
        <v>740</v>
      </c>
      <c r="B4" s="643" t="s">
        <v>1297</v>
      </c>
      <c r="C4" s="643" t="s">
        <v>1308</v>
      </c>
      <c r="D4" s="643" t="s">
        <v>1316</v>
      </c>
      <c r="E4" s="643" t="s">
        <v>1309</v>
      </c>
      <c r="F4" s="643" t="s">
        <v>931</v>
      </c>
      <c r="G4" s="643" t="s">
        <v>1317</v>
      </c>
    </row>
    <row r="5" spans="1:7">
      <c r="A5" s="472" t="s">
        <v>1434</v>
      </c>
      <c r="B5" s="630">
        <v>43</v>
      </c>
      <c r="C5" s="630">
        <v>313</v>
      </c>
      <c r="D5" s="630">
        <v>787</v>
      </c>
      <c r="E5" s="630">
        <v>18</v>
      </c>
      <c r="F5" s="630">
        <v>23</v>
      </c>
      <c r="G5" s="630">
        <v>1185</v>
      </c>
    </row>
    <row r="6" spans="1:7">
      <c r="A6" s="472" t="s">
        <v>316</v>
      </c>
      <c r="B6" s="630"/>
      <c r="C6" s="630">
        <v>-1</v>
      </c>
      <c r="D6" s="630">
        <v>-1</v>
      </c>
      <c r="E6" s="630"/>
      <c r="F6" s="630"/>
      <c r="G6" s="630">
        <v>-3</v>
      </c>
    </row>
    <row r="7" spans="1:7">
      <c r="A7" s="472" t="s">
        <v>1557</v>
      </c>
      <c r="B7" s="630">
        <v>-9</v>
      </c>
      <c r="C7" s="630">
        <v>-22</v>
      </c>
      <c r="D7" s="630">
        <v>-19</v>
      </c>
      <c r="E7" s="630"/>
      <c r="F7" s="630"/>
      <c r="G7" s="630">
        <v>-50</v>
      </c>
    </row>
    <row r="8" spans="1:7">
      <c r="A8" s="472" t="s">
        <v>841</v>
      </c>
      <c r="B8" s="630">
        <v>1</v>
      </c>
      <c r="C8" s="630">
        <v>5</v>
      </c>
      <c r="D8" s="630">
        <v>23</v>
      </c>
      <c r="E8" s="630">
        <v>35</v>
      </c>
      <c r="F8" s="630"/>
      <c r="G8" s="630">
        <v>64</v>
      </c>
    </row>
    <row r="9" spans="1:7">
      <c r="A9" s="472" t="s">
        <v>842</v>
      </c>
      <c r="B9" s="630">
        <v>-4</v>
      </c>
      <c r="C9" s="630">
        <v>-4</v>
      </c>
      <c r="D9" s="630">
        <v>-22</v>
      </c>
      <c r="E9" s="630"/>
      <c r="F9" s="630"/>
      <c r="G9" s="630">
        <v>-30</v>
      </c>
    </row>
    <row r="10" spans="1:7">
      <c r="A10" s="832" t="s">
        <v>1079</v>
      </c>
      <c r="B10" s="625"/>
      <c r="C10" s="625">
        <v>7</v>
      </c>
      <c r="D10" s="625">
        <v>12</v>
      </c>
      <c r="E10" s="625">
        <v>-14</v>
      </c>
      <c r="F10" s="625"/>
      <c r="G10" s="625">
        <v>5</v>
      </c>
    </row>
    <row r="11" spans="1:7">
      <c r="A11" s="717" t="s">
        <v>1435</v>
      </c>
      <c r="B11" s="630">
        <v>31</v>
      </c>
      <c r="C11" s="630">
        <v>297</v>
      </c>
      <c r="D11" s="630">
        <v>780</v>
      </c>
      <c r="E11" s="630">
        <v>40</v>
      </c>
      <c r="F11" s="630">
        <v>24</v>
      </c>
      <c r="G11" s="630">
        <v>1171</v>
      </c>
    </row>
    <row r="12" spans="1:7">
      <c r="A12" s="523"/>
      <c r="B12" s="630"/>
      <c r="C12" s="630"/>
      <c r="D12" s="630"/>
      <c r="E12" s="630"/>
      <c r="F12" s="630"/>
      <c r="G12" s="630"/>
    </row>
    <row r="13" spans="1:7">
      <c r="A13" s="753" t="s">
        <v>1436</v>
      </c>
      <c r="B13" s="630">
        <v>-2</v>
      </c>
      <c r="C13" s="630">
        <v>-172</v>
      </c>
      <c r="D13" s="630">
        <v>-642</v>
      </c>
      <c r="E13" s="630"/>
      <c r="F13" s="630">
        <v>-20</v>
      </c>
      <c r="G13" s="630">
        <v>-835</v>
      </c>
    </row>
    <row r="14" spans="1:7">
      <c r="A14" s="472" t="s">
        <v>316</v>
      </c>
      <c r="B14" s="630"/>
      <c r="C14" s="630">
        <v>1</v>
      </c>
      <c r="D14" s="630">
        <v>1</v>
      </c>
      <c r="E14" s="630"/>
      <c r="F14" s="630"/>
      <c r="G14" s="630">
        <v>1</v>
      </c>
    </row>
    <row r="15" spans="1:7">
      <c r="A15" s="1061" t="s">
        <v>1561</v>
      </c>
      <c r="B15" s="630">
        <v>1</v>
      </c>
      <c r="C15" s="630">
        <v>11</v>
      </c>
      <c r="D15" s="630">
        <v>41</v>
      </c>
      <c r="E15" s="630"/>
      <c r="F15" s="630"/>
      <c r="G15" s="630">
        <v>53</v>
      </c>
    </row>
    <row r="16" spans="1:7">
      <c r="A16" s="472" t="s">
        <v>606</v>
      </c>
      <c r="B16" s="630"/>
      <c r="C16" s="630">
        <v>-16</v>
      </c>
      <c r="D16" s="630">
        <v>-43</v>
      </c>
      <c r="E16" s="630"/>
      <c r="F16" s="630">
        <v>-1</v>
      </c>
      <c r="G16" s="630">
        <v>-60</v>
      </c>
    </row>
    <row r="17" spans="1:7">
      <c r="A17" s="741" t="s">
        <v>704</v>
      </c>
      <c r="B17" s="630"/>
      <c r="C17" s="630"/>
      <c r="D17" s="630">
        <v>-2</v>
      </c>
      <c r="E17" s="630"/>
      <c r="F17" s="630"/>
      <c r="G17" s="630">
        <v>-2</v>
      </c>
    </row>
    <row r="18" spans="1:7">
      <c r="A18" s="832" t="s">
        <v>1079</v>
      </c>
      <c r="B18" s="625"/>
      <c r="C18" s="625">
        <v>-1</v>
      </c>
      <c r="D18" s="625">
        <v>-4</v>
      </c>
      <c r="E18" s="625"/>
      <c r="F18" s="625"/>
      <c r="G18" s="625">
        <v>-5</v>
      </c>
    </row>
    <row r="19" spans="1:7" ht="22.5" customHeight="1">
      <c r="A19" s="755" t="s">
        <v>1437</v>
      </c>
      <c r="B19" s="630">
        <v>-1</v>
      </c>
      <c r="C19" s="630">
        <v>-177</v>
      </c>
      <c r="D19" s="630">
        <v>-648</v>
      </c>
      <c r="E19" s="630"/>
      <c r="F19" s="630">
        <v>-21</v>
      </c>
      <c r="G19" s="630">
        <v>-847</v>
      </c>
    </row>
    <row r="20" spans="1:7">
      <c r="A20" s="550"/>
      <c r="B20" s="625"/>
      <c r="C20" s="625"/>
      <c r="D20" s="625"/>
      <c r="E20" s="625"/>
      <c r="F20" s="625"/>
      <c r="G20" s="625"/>
    </row>
    <row r="21" spans="1:7">
      <c r="A21" s="530" t="s">
        <v>1438</v>
      </c>
      <c r="B21" s="626">
        <v>30</v>
      </c>
      <c r="C21" s="626">
        <v>120</v>
      </c>
      <c r="D21" s="626">
        <v>132</v>
      </c>
      <c r="E21" s="626">
        <v>39</v>
      </c>
      <c r="F21" s="626">
        <v>3</v>
      </c>
      <c r="G21" s="626">
        <v>324</v>
      </c>
    </row>
    <row r="22" spans="1:7">
      <c r="A22" s="555"/>
      <c r="B22" s="630"/>
      <c r="C22" s="630"/>
      <c r="D22" s="630"/>
      <c r="E22" s="630"/>
      <c r="F22" s="630"/>
      <c r="G22" s="630"/>
    </row>
    <row r="23" spans="1:7" ht="22.5" customHeight="1">
      <c r="A23" s="522" t="s">
        <v>1072</v>
      </c>
      <c r="B23" s="630"/>
      <c r="C23" s="630">
        <v>1</v>
      </c>
      <c r="D23" s="630">
        <v>1</v>
      </c>
      <c r="E23" s="630"/>
      <c r="F23" s="630"/>
      <c r="G23" s="630">
        <v>3</v>
      </c>
    </row>
    <row r="24" spans="1:7" ht="13.2">
      <c r="A24" s="220"/>
      <c r="B24" s="824"/>
      <c r="C24" s="825"/>
      <c r="D24" s="825"/>
      <c r="E24" s="825"/>
      <c r="F24" s="825"/>
      <c r="G24" s="825"/>
    </row>
    <row r="25" spans="1:7" ht="13.2">
      <c r="A25" s="954">
        <v>2017</v>
      </c>
      <c r="B25" s="329"/>
      <c r="C25" s="329"/>
      <c r="D25" s="257"/>
      <c r="E25" s="222"/>
      <c r="F25" s="257"/>
      <c r="G25" s="257"/>
    </row>
    <row r="26" spans="1:7" ht="67.5" customHeight="1">
      <c r="A26" s="304" t="s">
        <v>740</v>
      </c>
      <c r="B26" s="277" t="s">
        <v>1297</v>
      </c>
      <c r="C26" s="277" t="s">
        <v>1308</v>
      </c>
      <c r="D26" s="277" t="s">
        <v>1316</v>
      </c>
      <c r="E26" s="277" t="s">
        <v>1309</v>
      </c>
      <c r="F26" s="277" t="s">
        <v>931</v>
      </c>
      <c r="G26" s="277" t="s">
        <v>1317</v>
      </c>
    </row>
    <row r="27" spans="1:7">
      <c r="A27" s="522" t="s">
        <v>1312</v>
      </c>
      <c r="B27" s="502">
        <v>46</v>
      </c>
      <c r="C27" s="502">
        <v>349</v>
      </c>
      <c r="D27" s="502">
        <v>834</v>
      </c>
      <c r="E27" s="502">
        <v>12</v>
      </c>
      <c r="F27" s="502">
        <v>25</v>
      </c>
      <c r="G27" s="502">
        <v>1266</v>
      </c>
    </row>
    <row r="28" spans="1:7">
      <c r="A28" s="522" t="s">
        <v>316</v>
      </c>
      <c r="B28" s="502">
        <v>-1</v>
      </c>
      <c r="C28" s="502">
        <v>-10</v>
      </c>
      <c r="D28" s="502">
        <v>-18</v>
      </c>
      <c r="E28" s="502"/>
      <c r="F28" s="502"/>
      <c r="G28" s="502">
        <v>-30</v>
      </c>
    </row>
    <row r="29" spans="1:7">
      <c r="A29" s="472" t="s">
        <v>841</v>
      </c>
      <c r="B29" s="502"/>
      <c r="C29" s="502">
        <v>2</v>
      </c>
      <c r="D29" s="502">
        <v>20</v>
      </c>
      <c r="E29" s="502">
        <v>17</v>
      </c>
      <c r="F29" s="502"/>
      <c r="G29" s="502">
        <v>39</v>
      </c>
    </row>
    <row r="30" spans="1:7">
      <c r="A30" s="522" t="s">
        <v>842</v>
      </c>
      <c r="B30" s="502">
        <v>-2</v>
      </c>
      <c r="C30" s="502">
        <v>-22</v>
      </c>
      <c r="D30" s="502">
        <v>-45</v>
      </c>
      <c r="E30" s="502"/>
      <c r="F30" s="502"/>
      <c r="G30" s="502">
        <v>-69</v>
      </c>
    </row>
    <row r="31" spans="1:7">
      <c r="A31" s="793" t="s">
        <v>1079</v>
      </c>
      <c r="B31" s="480"/>
      <c r="C31" s="480">
        <v>-6</v>
      </c>
      <c r="D31" s="480">
        <v>-5</v>
      </c>
      <c r="E31" s="480">
        <v>-11</v>
      </c>
      <c r="F31" s="480">
        <v>-1</v>
      </c>
      <c r="G31" s="480">
        <v>-22</v>
      </c>
    </row>
    <row r="32" spans="1:7">
      <c r="A32" s="718" t="s">
        <v>1313</v>
      </c>
      <c r="B32" s="502">
        <v>43</v>
      </c>
      <c r="C32" s="502">
        <v>313</v>
      </c>
      <c r="D32" s="502">
        <v>787</v>
      </c>
      <c r="E32" s="502">
        <v>18</v>
      </c>
      <c r="F32" s="502">
        <v>23</v>
      </c>
      <c r="G32" s="502">
        <v>1185</v>
      </c>
    </row>
    <row r="33" spans="1:7">
      <c r="A33" s="549"/>
      <c r="B33" s="499"/>
      <c r="C33" s="499"/>
      <c r="D33" s="499"/>
      <c r="E33" s="499"/>
      <c r="F33" s="499"/>
      <c r="G33" s="499"/>
    </row>
    <row r="34" spans="1:7">
      <c r="A34" s="522" t="s">
        <v>1234</v>
      </c>
      <c r="B34" s="502">
        <v>-1</v>
      </c>
      <c r="C34" s="502">
        <v>-179</v>
      </c>
      <c r="D34" s="502">
        <v>-660</v>
      </c>
      <c r="E34" s="502"/>
      <c r="F34" s="502">
        <v>-21</v>
      </c>
      <c r="G34" s="502">
        <v>-861</v>
      </c>
    </row>
    <row r="35" spans="1:7">
      <c r="A35" s="522" t="s">
        <v>316</v>
      </c>
      <c r="B35" s="502"/>
      <c r="C35" s="502">
        <v>4</v>
      </c>
      <c r="D35" s="502">
        <v>13</v>
      </c>
      <c r="E35" s="502"/>
      <c r="F35" s="502"/>
      <c r="G35" s="502">
        <v>18</v>
      </c>
    </row>
    <row r="36" spans="1:7">
      <c r="A36" s="522" t="s">
        <v>605</v>
      </c>
      <c r="B36" s="502"/>
      <c r="C36" s="502">
        <v>15</v>
      </c>
      <c r="D36" s="502">
        <v>44</v>
      </c>
      <c r="E36" s="502"/>
      <c r="F36" s="502"/>
      <c r="G36" s="502">
        <v>59</v>
      </c>
    </row>
    <row r="37" spans="1:7">
      <c r="A37" s="740" t="s">
        <v>606</v>
      </c>
      <c r="B37" s="502"/>
      <c r="C37" s="502">
        <v>-15</v>
      </c>
      <c r="D37" s="502">
        <v>-45</v>
      </c>
      <c r="E37" s="502"/>
      <c r="F37" s="502">
        <v>-1</v>
      </c>
      <c r="G37" s="502">
        <v>-61</v>
      </c>
    </row>
    <row r="38" spans="1:7">
      <c r="A38" s="843" t="s">
        <v>704</v>
      </c>
      <c r="B38" s="502"/>
      <c r="C38" s="502">
        <v>-6</v>
      </c>
      <c r="D38" s="502">
        <v>-7</v>
      </c>
      <c r="E38" s="502"/>
      <c r="F38" s="502"/>
      <c r="G38" s="502">
        <v>-13</v>
      </c>
    </row>
    <row r="39" spans="1:7">
      <c r="A39" s="793" t="s">
        <v>1079</v>
      </c>
      <c r="B39" s="480"/>
      <c r="C39" s="480">
        <v>9</v>
      </c>
      <c r="D39" s="480">
        <v>13</v>
      </c>
      <c r="E39" s="480"/>
      <c r="F39" s="480">
        <v>1</v>
      </c>
      <c r="G39" s="480">
        <v>22</v>
      </c>
    </row>
    <row r="40" spans="1:7" ht="24" customHeight="1">
      <c r="A40" s="719" t="s">
        <v>1314</v>
      </c>
      <c r="B40" s="502">
        <v>-2</v>
      </c>
      <c r="C40" s="502">
        <v>-172</v>
      </c>
      <c r="D40" s="502">
        <v>-642</v>
      </c>
      <c r="E40" s="502"/>
      <c r="F40" s="502">
        <v>-20</v>
      </c>
      <c r="G40" s="502">
        <v>-835</v>
      </c>
    </row>
    <row r="41" spans="1:7">
      <c r="A41" s="550"/>
      <c r="B41" s="479"/>
      <c r="C41" s="479"/>
      <c r="D41" s="479"/>
      <c r="E41" s="479"/>
      <c r="F41" s="479"/>
      <c r="G41" s="479"/>
    </row>
    <row r="42" spans="1:7">
      <c r="A42" s="530" t="s">
        <v>1315</v>
      </c>
      <c r="B42" s="526">
        <v>41</v>
      </c>
      <c r="C42" s="526">
        <v>142</v>
      </c>
      <c r="D42" s="526">
        <v>146</v>
      </c>
      <c r="E42" s="526">
        <v>18</v>
      </c>
      <c r="F42" s="526">
        <v>3</v>
      </c>
      <c r="G42" s="526">
        <v>349</v>
      </c>
    </row>
    <row r="43" spans="1:7">
      <c r="A43" s="555"/>
      <c r="B43" s="499"/>
      <c r="C43" s="499"/>
      <c r="D43" s="499"/>
      <c r="E43" s="499"/>
      <c r="F43" s="499"/>
      <c r="G43" s="499"/>
    </row>
    <row r="44" spans="1:7" ht="22.5" customHeight="1">
      <c r="A44" s="522" t="s">
        <v>1072</v>
      </c>
      <c r="B44" s="502"/>
      <c r="C44" s="502"/>
      <c r="D44" s="502"/>
      <c r="E44" s="502"/>
      <c r="F44" s="502"/>
      <c r="G44" s="502">
        <v>1</v>
      </c>
    </row>
  </sheetData>
  <mergeCells count="1">
    <mergeCell ref="A1:G1"/>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dimension ref="A1:Q45"/>
  <sheetViews>
    <sheetView zoomScaleNormal="100" workbookViewId="0">
      <selection sqref="A1:I1"/>
    </sheetView>
  </sheetViews>
  <sheetFormatPr defaultColWidth="8.7109375" defaultRowHeight="10.199999999999999"/>
  <cols>
    <col min="1" max="1" width="2.42578125" style="243" customWidth="1"/>
    <col min="2" max="2" width="45.7109375" style="225" customWidth="1"/>
    <col min="3" max="3" width="11.7109375" style="338" customWidth="1"/>
    <col min="4" max="9" width="11.7109375" style="232" customWidth="1"/>
    <col min="10" max="17" width="3.7109375" style="205" customWidth="1"/>
    <col min="18" max="16384" width="8.7109375" style="1079"/>
  </cols>
  <sheetData>
    <row r="1" spans="1:17" ht="15.6">
      <c r="A1" s="1237" t="s">
        <v>1376</v>
      </c>
      <c r="B1" s="1237"/>
      <c r="C1" s="1237"/>
      <c r="D1" s="1237"/>
      <c r="E1" s="1237"/>
      <c r="F1" s="1237"/>
      <c r="G1" s="1237"/>
      <c r="H1" s="1237"/>
      <c r="I1" s="1237"/>
    </row>
    <row r="2" spans="1:17" ht="11.25" customHeight="1">
      <c r="A2" s="543"/>
      <c r="B2" s="332"/>
      <c r="C2" s="876"/>
      <c r="D2" s="333"/>
      <c r="E2" s="333"/>
      <c r="F2" s="333"/>
      <c r="G2" s="333"/>
      <c r="H2" s="334"/>
      <c r="I2" s="334"/>
    </row>
    <row r="3" spans="1:17">
      <c r="A3" s="1219" t="s">
        <v>740</v>
      </c>
      <c r="B3" s="1219"/>
      <c r="C3" s="308"/>
      <c r="D3" s="340"/>
      <c r="E3" s="340"/>
      <c r="F3" s="340"/>
      <c r="G3" s="340"/>
      <c r="H3" s="650">
        <v>2018</v>
      </c>
      <c r="I3" s="309">
        <v>2017</v>
      </c>
    </row>
    <row r="4" spans="1:17">
      <c r="A4" s="1161" t="s">
        <v>313</v>
      </c>
      <c r="B4" s="1161"/>
      <c r="C4" s="472"/>
      <c r="D4" s="557"/>
      <c r="E4" s="557"/>
      <c r="F4" s="557"/>
      <c r="G4" s="557"/>
      <c r="H4" s="630">
        <v>83</v>
      </c>
      <c r="I4" s="502">
        <v>84</v>
      </c>
    </row>
    <row r="5" spans="1:17">
      <c r="A5" s="1161" t="s">
        <v>126</v>
      </c>
      <c r="B5" s="1161"/>
      <c r="C5" s="472"/>
      <c r="D5" s="557"/>
      <c r="E5" s="557"/>
      <c r="F5" s="557"/>
      <c r="G5" s="557"/>
      <c r="H5" s="670">
        <v>1</v>
      </c>
      <c r="I5" s="502"/>
    </row>
    <row r="6" spans="1:17">
      <c r="A6" s="1161" t="s">
        <v>314</v>
      </c>
      <c r="B6" s="1161"/>
      <c r="C6" s="472"/>
      <c r="D6" s="557"/>
      <c r="E6" s="557"/>
      <c r="F6" s="557"/>
      <c r="G6" s="557"/>
      <c r="H6" s="670">
        <v>13</v>
      </c>
      <c r="I6" s="502">
        <v>13</v>
      </c>
    </row>
    <row r="7" spans="1:17">
      <c r="A7" s="1161" t="s">
        <v>315</v>
      </c>
      <c r="B7" s="1161"/>
      <c r="C7" s="472"/>
      <c r="D7" s="557"/>
      <c r="E7" s="557"/>
      <c r="F7" s="557"/>
      <c r="G7" s="557"/>
      <c r="H7" s="670">
        <v>-17</v>
      </c>
      <c r="I7" s="502">
        <v>-12</v>
      </c>
    </row>
    <row r="8" spans="1:17">
      <c r="A8" s="1161" t="s">
        <v>375</v>
      </c>
      <c r="B8" s="1161"/>
      <c r="C8" s="472"/>
      <c r="D8" s="557"/>
      <c r="E8" s="557"/>
      <c r="F8" s="557"/>
      <c r="G8" s="557"/>
      <c r="H8" s="670">
        <v>-1</v>
      </c>
      <c r="I8" s="502">
        <v>-1</v>
      </c>
    </row>
    <row r="9" spans="1:17">
      <c r="A9" s="1166" t="s">
        <v>1511</v>
      </c>
      <c r="B9" s="1166"/>
      <c r="C9" s="1078"/>
      <c r="D9" s="1088"/>
      <c r="E9" s="1088"/>
      <c r="F9" s="1088"/>
      <c r="G9" s="1088"/>
      <c r="H9" s="956">
        <v>-13</v>
      </c>
      <c r="I9" s="480"/>
      <c r="J9" s="1046"/>
      <c r="K9" s="1046"/>
      <c r="L9" s="1046"/>
      <c r="M9" s="1046"/>
      <c r="N9" s="1046"/>
      <c r="O9" s="1046"/>
      <c r="P9" s="1046"/>
      <c r="Q9" s="1046"/>
    </row>
    <row r="10" spans="1:17">
      <c r="A10" s="1169" t="s">
        <v>317</v>
      </c>
      <c r="B10" s="1169"/>
      <c r="C10" s="562"/>
      <c r="D10" s="563"/>
      <c r="E10" s="563"/>
      <c r="F10" s="563"/>
      <c r="G10" s="563"/>
      <c r="H10" s="671">
        <v>66</v>
      </c>
      <c r="I10" s="526">
        <v>83</v>
      </c>
    </row>
    <row r="11" spans="1:17">
      <c r="A11" s="293"/>
      <c r="B11" s="293"/>
      <c r="C11" s="299"/>
      <c r="D11" s="295"/>
      <c r="E11" s="295"/>
      <c r="F11" s="295"/>
      <c r="G11" s="295"/>
      <c r="H11" s="295"/>
      <c r="I11" s="295"/>
    </row>
    <row r="12" spans="1:17" ht="22.5" customHeight="1">
      <c r="A12" s="1187" t="s">
        <v>1565</v>
      </c>
      <c r="B12" s="1187"/>
      <c r="C12" s="1187"/>
      <c r="D12" s="1187"/>
      <c r="E12" s="1187"/>
      <c r="F12" s="1187"/>
      <c r="G12" s="1187"/>
      <c r="H12" s="1187"/>
      <c r="I12" s="1187"/>
    </row>
    <row r="13" spans="1:17">
      <c r="A13" s="331"/>
      <c r="B13" s="293"/>
      <c r="C13" s="299"/>
      <c r="D13" s="295"/>
      <c r="E13" s="295"/>
      <c r="F13" s="295"/>
      <c r="G13" s="295"/>
      <c r="H13" s="295"/>
      <c r="I13" s="295"/>
    </row>
    <row r="14" spans="1:17" s="1104" customFormat="1">
      <c r="A14" s="1238" t="s">
        <v>916</v>
      </c>
      <c r="B14" s="1238"/>
      <c r="C14" s="1238"/>
      <c r="D14" s="1238"/>
      <c r="E14" s="1238"/>
      <c r="F14" s="1238"/>
      <c r="G14" s="1238"/>
      <c r="H14" s="1238"/>
      <c r="I14" s="1238"/>
    </row>
    <row r="15" spans="1:17">
      <c r="A15" s="543"/>
      <c r="B15" s="293"/>
      <c r="C15" s="299"/>
      <c r="D15" s="295"/>
      <c r="E15" s="295"/>
      <c r="F15" s="295"/>
      <c r="G15" s="295"/>
      <c r="H15" s="295"/>
      <c r="I15" s="295"/>
    </row>
    <row r="16" spans="1:17">
      <c r="A16" s="1239">
        <v>2018</v>
      </c>
      <c r="B16" s="1239"/>
      <c r="C16" s="335"/>
      <c r="D16" s="296"/>
      <c r="E16" s="296"/>
      <c r="F16" s="296"/>
      <c r="G16" s="296"/>
      <c r="H16" s="296"/>
      <c r="I16" s="295"/>
      <c r="N16" s="239"/>
    </row>
    <row r="17" spans="1:17" ht="45" customHeight="1">
      <c r="A17" s="1219" t="s">
        <v>740</v>
      </c>
      <c r="B17" s="1219"/>
      <c r="C17" s="341"/>
      <c r="D17" s="648" t="s">
        <v>319</v>
      </c>
      <c r="E17" s="667" t="s">
        <v>556</v>
      </c>
      <c r="F17" s="667" t="s">
        <v>924</v>
      </c>
      <c r="G17" s="648" t="s">
        <v>352</v>
      </c>
      <c r="H17" s="667" t="s">
        <v>974</v>
      </c>
      <c r="I17" s="667" t="s">
        <v>975</v>
      </c>
    </row>
    <row r="18" spans="1:17" ht="11.25" customHeight="1">
      <c r="A18" s="1146" t="s">
        <v>922</v>
      </c>
      <c r="B18" s="1146"/>
      <c r="C18" s="558"/>
      <c r="D18" s="668"/>
      <c r="E18" s="668"/>
      <c r="F18" s="668"/>
      <c r="G18" s="668"/>
      <c r="H18" s="668"/>
      <c r="I18" s="668"/>
    </row>
    <row r="19" spans="1:17" ht="11.25" customHeight="1">
      <c r="A19" s="1124" t="s">
        <v>687</v>
      </c>
      <c r="B19" s="1124"/>
      <c r="C19" s="472" t="s">
        <v>140</v>
      </c>
      <c r="D19" s="617">
        <v>50</v>
      </c>
      <c r="E19" s="630">
        <v>26</v>
      </c>
      <c r="F19" s="630">
        <v>19</v>
      </c>
      <c r="G19" s="630">
        <v>8</v>
      </c>
      <c r="H19" s="630">
        <v>17</v>
      </c>
      <c r="I19" s="630"/>
    </row>
    <row r="20" spans="1:17" ht="11.25" customHeight="1">
      <c r="A20" s="1124" t="s">
        <v>281</v>
      </c>
      <c r="B20" s="1124"/>
      <c r="C20" s="549" t="s">
        <v>227</v>
      </c>
      <c r="D20" s="617">
        <v>50</v>
      </c>
      <c r="E20" s="630">
        <v>111</v>
      </c>
      <c r="F20" s="630">
        <v>91</v>
      </c>
      <c r="G20" s="630">
        <v>20</v>
      </c>
      <c r="H20" s="630">
        <v>164</v>
      </c>
      <c r="I20" s="630">
        <v>29</v>
      </c>
    </row>
    <row r="21" spans="1:17" ht="11.25" customHeight="1">
      <c r="A21" s="1110" t="s">
        <v>1599</v>
      </c>
      <c r="B21" s="1110"/>
      <c r="C21" s="1068" t="s">
        <v>140</v>
      </c>
      <c r="D21" s="617">
        <v>49</v>
      </c>
      <c r="E21" s="630">
        <v>2</v>
      </c>
      <c r="F21" s="630">
        <v>2</v>
      </c>
      <c r="G21" s="630">
        <v>1</v>
      </c>
      <c r="H21" s="630"/>
      <c r="I21" s="630">
        <v>-1</v>
      </c>
      <c r="J21" s="1069"/>
      <c r="K21" s="1069"/>
      <c r="L21" s="1069"/>
      <c r="M21" s="1069"/>
      <c r="N21" s="1069"/>
      <c r="O21" s="1069"/>
      <c r="P21" s="1069"/>
      <c r="Q21" s="1069"/>
    </row>
    <row r="22" spans="1:17" ht="11.25" customHeight="1">
      <c r="A22" s="1124" t="s">
        <v>1144</v>
      </c>
      <c r="B22" s="1124"/>
      <c r="C22" s="765" t="s">
        <v>140</v>
      </c>
      <c r="D22" s="617">
        <v>49</v>
      </c>
      <c r="E22" s="630">
        <v>70</v>
      </c>
      <c r="F22" s="630">
        <v>19</v>
      </c>
      <c r="G22" s="630">
        <v>51</v>
      </c>
      <c r="H22" s="630">
        <v>49</v>
      </c>
      <c r="I22" s="630">
        <v>-3</v>
      </c>
    </row>
    <row r="23" spans="1:17" ht="11.25" customHeight="1">
      <c r="A23" s="1124" t="s">
        <v>58</v>
      </c>
      <c r="B23" s="1124"/>
      <c r="C23" s="472" t="s">
        <v>736</v>
      </c>
      <c r="D23" s="617">
        <v>50</v>
      </c>
      <c r="E23" s="630">
        <v>1</v>
      </c>
      <c r="F23" s="630">
        <v>1</v>
      </c>
      <c r="G23" s="630">
        <v>1</v>
      </c>
      <c r="H23" s="630">
        <v>1</v>
      </c>
      <c r="I23" s="630"/>
    </row>
    <row r="24" spans="1:17" ht="11.25" customHeight="1">
      <c r="A24" s="1112" t="s">
        <v>923</v>
      </c>
      <c r="B24" s="1112"/>
      <c r="C24" s="523"/>
      <c r="D24" s="669"/>
      <c r="E24" s="639"/>
      <c r="F24" s="639"/>
      <c r="G24" s="639"/>
      <c r="H24" s="639"/>
      <c r="I24" s="639"/>
    </row>
    <row r="25" spans="1:17" ht="11.25" customHeight="1">
      <c r="A25" s="1124" t="s">
        <v>396</v>
      </c>
      <c r="B25" s="1124"/>
      <c r="C25" s="472" t="s">
        <v>397</v>
      </c>
      <c r="D25" s="617">
        <v>40</v>
      </c>
      <c r="E25" s="630"/>
      <c r="F25" s="630">
        <v>-2</v>
      </c>
      <c r="G25" s="630">
        <v>2</v>
      </c>
      <c r="H25" s="630"/>
      <c r="I25" s="630"/>
    </row>
    <row r="26" spans="1:17" ht="11.25" customHeight="1">
      <c r="A26" s="1124" t="s">
        <v>138</v>
      </c>
      <c r="B26" s="1124"/>
      <c r="C26" s="472" t="s">
        <v>139</v>
      </c>
      <c r="D26" s="617">
        <v>40</v>
      </c>
      <c r="E26" s="630">
        <v>1</v>
      </c>
      <c r="F26" s="630">
        <v>1</v>
      </c>
      <c r="G26" s="630"/>
      <c r="H26" s="630">
        <v>1</v>
      </c>
      <c r="I26" s="630"/>
    </row>
    <row r="27" spans="1:17">
      <c r="A27" s="543"/>
      <c r="B27" s="220"/>
      <c r="C27" s="220"/>
      <c r="D27" s="295"/>
      <c r="E27" s="295"/>
      <c r="F27" s="295"/>
      <c r="G27" s="295"/>
      <c r="H27" s="295"/>
      <c r="I27" s="296"/>
    </row>
    <row r="28" spans="1:17" ht="42.6" customHeight="1">
      <c r="A28" s="1198" t="s">
        <v>1499</v>
      </c>
      <c r="B28" s="1198"/>
      <c r="C28" s="1198"/>
      <c r="D28" s="1198"/>
      <c r="E28" s="1198"/>
      <c r="F28" s="1198"/>
      <c r="G28" s="1198"/>
      <c r="H28" s="1198"/>
      <c r="I28" s="1198"/>
      <c r="J28" s="801"/>
      <c r="K28" s="801"/>
      <c r="L28" s="801"/>
      <c r="M28" s="801"/>
      <c r="N28" s="801"/>
      <c r="O28" s="801"/>
      <c r="P28" s="801"/>
      <c r="Q28" s="801"/>
    </row>
    <row r="29" spans="1:17" ht="12.6">
      <c r="A29" s="1240"/>
      <c r="B29" s="1240"/>
      <c r="C29" s="1240"/>
      <c r="D29" s="1240"/>
      <c r="E29" s="1240"/>
      <c r="F29" s="1240"/>
      <c r="G29" s="1240"/>
      <c r="H29" s="1240"/>
      <c r="I29" s="1240"/>
      <c r="J29" s="801"/>
      <c r="K29" s="801"/>
      <c r="L29" s="801"/>
      <c r="M29" s="801"/>
      <c r="N29" s="801"/>
      <c r="O29" s="801"/>
      <c r="P29" s="801"/>
      <c r="Q29" s="801"/>
    </row>
    <row r="30" spans="1:17">
      <c r="A30" s="1239">
        <v>2017</v>
      </c>
      <c r="B30" s="1239"/>
      <c r="C30" s="323"/>
      <c r="D30" s="337"/>
      <c r="E30" s="337"/>
      <c r="F30" s="337"/>
      <c r="G30" s="337"/>
      <c r="H30" s="337"/>
      <c r="I30" s="337"/>
    </row>
    <row r="31" spans="1:17" ht="45" customHeight="1">
      <c r="A31" s="1219" t="s">
        <v>740</v>
      </c>
      <c r="B31" s="1219"/>
      <c r="C31" s="341"/>
      <c r="D31" s="305" t="s">
        <v>319</v>
      </c>
      <c r="E31" s="305" t="s">
        <v>556</v>
      </c>
      <c r="F31" s="305" t="s">
        <v>924</v>
      </c>
      <c r="G31" s="305" t="s">
        <v>352</v>
      </c>
      <c r="H31" s="305" t="s">
        <v>974</v>
      </c>
      <c r="I31" s="305" t="s">
        <v>975</v>
      </c>
    </row>
    <row r="32" spans="1:17" ht="11.25" customHeight="1">
      <c r="A32" s="1146" t="s">
        <v>922</v>
      </c>
      <c r="B32" s="1146"/>
      <c r="C32" s="558"/>
      <c r="D32" s="560"/>
      <c r="E32" s="560"/>
      <c r="F32" s="560"/>
      <c r="G32" s="560"/>
      <c r="H32" s="560"/>
      <c r="I32" s="560"/>
    </row>
    <row r="33" spans="1:17">
      <c r="A33" s="1124" t="s">
        <v>687</v>
      </c>
      <c r="B33" s="1124"/>
      <c r="C33" s="472" t="s">
        <v>140</v>
      </c>
      <c r="D33" s="521" t="s">
        <v>873</v>
      </c>
      <c r="E33" s="502">
        <v>25</v>
      </c>
      <c r="F33" s="502">
        <v>19</v>
      </c>
      <c r="G33" s="502">
        <v>7</v>
      </c>
      <c r="H33" s="502">
        <v>13</v>
      </c>
      <c r="I33" s="502"/>
    </row>
    <row r="34" spans="1:17">
      <c r="A34" s="1124" t="s">
        <v>281</v>
      </c>
      <c r="B34" s="1124"/>
      <c r="C34" s="472" t="s">
        <v>227</v>
      </c>
      <c r="D34" s="521" t="s">
        <v>873</v>
      </c>
      <c r="E34" s="502">
        <v>192</v>
      </c>
      <c r="F34" s="502">
        <v>122</v>
      </c>
      <c r="G34" s="502">
        <v>70</v>
      </c>
      <c r="H34" s="502">
        <v>176</v>
      </c>
      <c r="I34" s="502">
        <v>34</v>
      </c>
    </row>
    <row r="35" spans="1:17">
      <c r="A35" s="1124" t="s">
        <v>1144</v>
      </c>
      <c r="B35" s="1124"/>
      <c r="C35" s="804" t="s">
        <v>140</v>
      </c>
      <c r="D35" s="521" t="s">
        <v>1143</v>
      </c>
      <c r="E35" s="502">
        <v>62</v>
      </c>
      <c r="F35" s="502">
        <v>22</v>
      </c>
      <c r="G35" s="502">
        <v>40</v>
      </c>
      <c r="H35" s="502">
        <v>26</v>
      </c>
      <c r="I35" s="502">
        <v>-9</v>
      </c>
      <c r="J35" s="801"/>
      <c r="K35" s="801"/>
      <c r="L35" s="801"/>
      <c r="M35" s="801"/>
      <c r="N35" s="801"/>
      <c r="O35" s="801"/>
      <c r="P35" s="801"/>
      <c r="Q35" s="801"/>
    </row>
    <row r="36" spans="1:17">
      <c r="A36" s="1124" t="s">
        <v>58</v>
      </c>
      <c r="B36" s="1124"/>
      <c r="C36" s="472" t="s">
        <v>736</v>
      </c>
      <c r="D36" s="521" t="s">
        <v>873</v>
      </c>
      <c r="E36" s="502">
        <v>1</v>
      </c>
      <c r="F36" s="502">
        <v>1</v>
      </c>
      <c r="G36" s="502">
        <v>1</v>
      </c>
      <c r="H36" s="502">
        <v>1</v>
      </c>
      <c r="I36" s="502"/>
    </row>
    <row r="37" spans="1:17">
      <c r="A37" s="1146" t="s">
        <v>923</v>
      </c>
      <c r="B37" s="1146"/>
      <c r="C37" s="523"/>
      <c r="D37" s="499"/>
      <c r="E37" s="499"/>
      <c r="F37" s="499"/>
      <c r="G37" s="499"/>
      <c r="H37" s="499"/>
      <c r="I37" s="499"/>
    </row>
    <row r="38" spans="1:17">
      <c r="A38" s="1124" t="s">
        <v>396</v>
      </c>
      <c r="B38" s="1124"/>
      <c r="C38" s="472" t="s">
        <v>397</v>
      </c>
      <c r="D38" s="521" t="s">
        <v>872</v>
      </c>
      <c r="E38" s="502"/>
      <c r="F38" s="502">
        <v>-2</v>
      </c>
      <c r="G38" s="502">
        <v>2</v>
      </c>
      <c r="H38" s="502"/>
      <c r="I38" s="502"/>
    </row>
    <row r="39" spans="1:17">
      <c r="A39" s="1124" t="s">
        <v>138</v>
      </c>
      <c r="B39" s="1124"/>
      <c r="C39" s="472" t="s">
        <v>139</v>
      </c>
      <c r="D39" s="521" t="s">
        <v>872</v>
      </c>
      <c r="E39" s="502">
        <v>1</v>
      </c>
      <c r="F39" s="502">
        <v>1</v>
      </c>
      <c r="G39" s="502"/>
      <c r="H39" s="502">
        <v>1</v>
      </c>
      <c r="I39" s="502"/>
    </row>
    <row r="40" spans="1:17">
      <c r="A40" s="543"/>
      <c r="B40" s="342"/>
      <c r="C40" s="342"/>
      <c r="D40" s="413"/>
      <c r="E40" s="343"/>
      <c r="F40" s="343"/>
      <c r="G40" s="343"/>
      <c r="H40" s="343"/>
      <c r="I40" s="343"/>
    </row>
    <row r="41" spans="1:17">
      <c r="A41" s="248"/>
      <c r="B41" s="411"/>
      <c r="C41" s="412"/>
      <c r="D41" s="367"/>
      <c r="E41" s="297"/>
      <c r="F41" s="297"/>
      <c r="G41" s="297"/>
      <c r="H41" s="297"/>
      <c r="I41" s="297"/>
    </row>
    <row r="42" spans="1:17">
      <c r="B42" s="292"/>
      <c r="C42" s="292"/>
      <c r="D42" s="336"/>
      <c r="E42" s="298"/>
      <c r="F42" s="298"/>
      <c r="H42" s="298"/>
      <c r="I42" s="298"/>
    </row>
    <row r="45" spans="1:17">
      <c r="B45" s="292"/>
      <c r="C45" s="225"/>
      <c r="D45" s="231"/>
      <c r="E45" s="231"/>
      <c r="F45" s="231"/>
      <c r="G45" s="231"/>
      <c r="H45" s="231"/>
      <c r="I45" s="231"/>
    </row>
  </sheetData>
  <mergeCells count="34">
    <mergeCell ref="A38:B38"/>
    <mergeCell ref="A39:B39"/>
    <mergeCell ref="A1:I1"/>
    <mergeCell ref="A12:I12"/>
    <mergeCell ref="A14:I14"/>
    <mergeCell ref="A16:B16"/>
    <mergeCell ref="A30:B30"/>
    <mergeCell ref="A17:B17"/>
    <mergeCell ref="A18:B18"/>
    <mergeCell ref="A24:B24"/>
    <mergeCell ref="A28:I28"/>
    <mergeCell ref="A29:I29"/>
    <mergeCell ref="A19:B19"/>
    <mergeCell ref="A20:B20"/>
    <mergeCell ref="A22:B22"/>
    <mergeCell ref="A23:B23"/>
    <mergeCell ref="A37:B37"/>
    <mergeCell ref="A32:B32"/>
    <mergeCell ref="A31:B31"/>
    <mergeCell ref="A35:B35"/>
    <mergeCell ref="A36:B36"/>
    <mergeCell ref="A3:B3"/>
    <mergeCell ref="A4:B4"/>
    <mergeCell ref="A5:B5"/>
    <mergeCell ref="A6:B6"/>
    <mergeCell ref="A7:B7"/>
    <mergeCell ref="A8:B8"/>
    <mergeCell ref="A10:B10"/>
    <mergeCell ref="A33:B33"/>
    <mergeCell ref="A34:B34"/>
    <mergeCell ref="A25:B25"/>
    <mergeCell ref="A26:B26"/>
    <mergeCell ref="A9:B9"/>
    <mergeCell ref="A21:B21"/>
  </mergeCells>
  <phoneticPr fontId="0" type="noConversion"/>
  <pageMargins left="0.75" right="0.75" top="1" bottom="1" header="0.5" footer="0.5"/>
  <pageSetup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dimension ref="A1:Q100"/>
  <sheetViews>
    <sheetView zoomScaleNormal="100" workbookViewId="0">
      <selection sqref="A1:G1"/>
    </sheetView>
  </sheetViews>
  <sheetFormatPr defaultColWidth="8.7109375" defaultRowHeight="10.199999999999999"/>
  <cols>
    <col min="1" max="1" width="2.42578125" style="225" customWidth="1"/>
    <col min="2" max="2" width="60.7109375" style="225" customWidth="1"/>
    <col min="3" max="7" width="13.28515625" style="232" customWidth="1"/>
    <col min="8" max="11" width="3.7109375" style="205" customWidth="1"/>
    <col min="12" max="13" width="3.7109375" style="897" customWidth="1"/>
    <col min="14" max="16" width="3.7109375" style="205" customWidth="1"/>
    <col min="17" max="17" width="3.42578125" style="205" customWidth="1"/>
    <col min="18" max="16384" width="8.7109375" style="1079"/>
  </cols>
  <sheetData>
    <row r="1" spans="1:17" ht="15.6">
      <c r="A1" s="1151" t="s">
        <v>1377</v>
      </c>
      <c r="B1" s="1245"/>
      <c r="C1" s="1245"/>
      <c r="D1" s="1245"/>
      <c r="E1" s="1245"/>
      <c r="F1" s="1245"/>
      <c r="G1" s="1245"/>
    </row>
    <row r="2" spans="1:17">
      <c r="A2" s="219"/>
      <c r="B2" s="220"/>
      <c r="C2" s="318"/>
      <c r="D2" s="318"/>
      <c r="E2" s="318"/>
      <c r="F2" s="318"/>
      <c r="G2" s="318"/>
    </row>
    <row r="3" spans="1:17" ht="11.25" customHeight="1">
      <c r="A3" s="1242">
        <v>2018</v>
      </c>
      <c r="B3" s="1243"/>
      <c r="C3" s="222"/>
      <c r="D3" s="222"/>
      <c r="E3" s="222"/>
      <c r="F3" s="222"/>
      <c r="G3" s="222"/>
    </row>
    <row r="4" spans="1:17" ht="90" customHeight="1">
      <c r="A4" s="1219" t="s">
        <v>740</v>
      </c>
      <c r="B4" s="1246"/>
      <c r="C4" s="761" t="s">
        <v>1298</v>
      </c>
      <c r="D4" s="761" t="s">
        <v>1272</v>
      </c>
      <c r="E4" s="761" t="s">
        <v>1284</v>
      </c>
      <c r="F4" s="665" t="s">
        <v>930</v>
      </c>
      <c r="G4" s="665" t="s">
        <v>1264</v>
      </c>
    </row>
    <row r="5" spans="1:17" ht="11.25" customHeight="1">
      <c r="A5" s="1146" t="s">
        <v>105</v>
      </c>
      <c r="B5" s="1146"/>
      <c r="C5" s="674"/>
      <c r="D5" s="674"/>
      <c r="E5" s="674"/>
      <c r="F5" s="674"/>
      <c r="G5" s="674"/>
    </row>
    <row r="6" spans="1:17">
      <c r="A6" s="1124" t="s">
        <v>607</v>
      </c>
      <c r="B6" s="1124"/>
      <c r="C6" s="630"/>
      <c r="D6" s="630">
        <v>3</v>
      </c>
      <c r="E6" s="630"/>
      <c r="F6" s="630">
        <v>3</v>
      </c>
      <c r="G6" s="630">
        <v>3</v>
      </c>
    </row>
    <row r="7" spans="1:17">
      <c r="A7" s="1110" t="s">
        <v>610</v>
      </c>
      <c r="B7" s="1110"/>
      <c r="C7" s="630">
        <v>49</v>
      </c>
      <c r="D7" s="630"/>
      <c r="E7" s="630"/>
      <c r="F7" s="630">
        <v>49</v>
      </c>
      <c r="G7" s="630">
        <v>49</v>
      </c>
      <c r="H7" s="1077"/>
      <c r="I7" s="1077"/>
      <c r="J7" s="1077"/>
      <c r="K7" s="1077"/>
      <c r="L7" s="1077"/>
      <c r="M7" s="1077"/>
      <c r="N7" s="1077"/>
      <c r="O7" s="1077"/>
      <c r="P7" s="1077"/>
      <c r="Q7" s="1077"/>
    </row>
    <row r="8" spans="1:17" s="1089" customFormat="1">
      <c r="A8" s="1110" t="s">
        <v>367</v>
      </c>
      <c r="B8" s="1110"/>
      <c r="C8" s="630"/>
      <c r="D8" s="630">
        <v>3</v>
      </c>
      <c r="E8" s="630"/>
      <c r="F8" s="630">
        <v>3</v>
      </c>
      <c r="G8" s="630">
        <v>3</v>
      </c>
    </row>
    <row r="9" spans="1:17">
      <c r="A9" s="1110" t="s">
        <v>1261</v>
      </c>
      <c r="B9" s="1110"/>
      <c r="C9" s="630"/>
      <c r="D9" s="630">
        <v>16</v>
      </c>
      <c r="E9" s="630"/>
      <c r="F9" s="630">
        <v>16</v>
      </c>
      <c r="G9" s="630">
        <v>16</v>
      </c>
      <c r="H9" s="882"/>
      <c r="I9" s="882"/>
      <c r="J9" s="882"/>
      <c r="K9" s="882"/>
      <c r="N9" s="882"/>
      <c r="O9" s="882"/>
      <c r="P9" s="882"/>
      <c r="Q9" s="882"/>
    </row>
    <row r="10" spans="1:17">
      <c r="A10" s="1124" t="s">
        <v>608</v>
      </c>
      <c r="B10" s="1124"/>
      <c r="C10" s="630">
        <v>20</v>
      </c>
      <c r="D10" s="630"/>
      <c r="E10" s="630"/>
      <c r="F10" s="630">
        <v>20</v>
      </c>
      <c r="G10" s="630">
        <v>20</v>
      </c>
    </row>
    <row r="11" spans="1:17">
      <c r="A11" s="1146" t="s">
        <v>106</v>
      </c>
      <c r="B11" s="1146"/>
      <c r="C11" s="674"/>
      <c r="D11" s="674"/>
      <c r="E11" s="630"/>
      <c r="F11" s="674"/>
      <c r="G11" s="674"/>
    </row>
    <row r="12" spans="1:17">
      <c r="A12" s="1124" t="s">
        <v>610</v>
      </c>
      <c r="B12" s="1124"/>
      <c r="C12" s="630">
        <v>1219</v>
      </c>
      <c r="D12" s="630"/>
      <c r="E12" s="630"/>
      <c r="F12" s="630">
        <v>1219</v>
      </c>
      <c r="G12" s="630">
        <v>1219</v>
      </c>
    </row>
    <row r="13" spans="1:17">
      <c r="A13" s="1110" t="s">
        <v>1271</v>
      </c>
      <c r="B13" s="1110"/>
      <c r="C13" s="630"/>
      <c r="D13" s="630">
        <v>3</v>
      </c>
      <c r="E13" s="630"/>
      <c r="F13" s="630">
        <v>3</v>
      </c>
      <c r="G13" s="630">
        <v>3</v>
      </c>
      <c r="H13" s="882"/>
      <c r="I13" s="882"/>
      <c r="J13" s="882"/>
      <c r="K13" s="882"/>
      <c r="N13" s="882"/>
      <c r="O13" s="882"/>
      <c r="P13" s="882"/>
      <c r="Q13" s="882"/>
    </row>
    <row r="14" spans="1:17">
      <c r="A14" s="1124" t="s">
        <v>367</v>
      </c>
      <c r="B14" s="1124"/>
      <c r="C14" s="630"/>
      <c r="D14" s="630">
        <v>5</v>
      </c>
      <c r="E14" s="630">
        <v>3</v>
      </c>
      <c r="F14" s="630">
        <v>8</v>
      </c>
      <c r="G14" s="630">
        <v>8</v>
      </c>
    </row>
    <row r="15" spans="1:17">
      <c r="A15" s="1110" t="s">
        <v>1420</v>
      </c>
      <c r="B15" s="1110"/>
      <c r="C15" s="630">
        <v>3</v>
      </c>
      <c r="D15" s="630"/>
      <c r="E15" s="630"/>
      <c r="F15" s="630">
        <v>3</v>
      </c>
      <c r="G15" s="630">
        <v>3</v>
      </c>
    </row>
    <row r="16" spans="1:17">
      <c r="A16" s="1123" t="s">
        <v>550</v>
      </c>
      <c r="B16" s="1123"/>
      <c r="C16" s="625">
        <v>466</v>
      </c>
      <c r="D16" s="625">
        <v>21</v>
      </c>
      <c r="E16" s="625"/>
      <c r="F16" s="625">
        <v>487</v>
      </c>
      <c r="G16" s="625">
        <v>487</v>
      </c>
    </row>
    <row r="17" spans="1:7" ht="11.25" customHeight="1">
      <c r="A17" s="1169" t="s">
        <v>341</v>
      </c>
      <c r="B17" s="1169"/>
      <c r="C17" s="626">
        <v>1758</v>
      </c>
      <c r="D17" s="626">
        <v>52</v>
      </c>
      <c r="E17" s="626">
        <v>3</v>
      </c>
      <c r="F17" s="626">
        <v>1813</v>
      </c>
      <c r="G17" s="626">
        <v>1813</v>
      </c>
    </row>
    <row r="18" spans="1:7">
      <c r="A18" s="523"/>
      <c r="B18" s="523"/>
      <c r="C18" s="639"/>
      <c r="D18" s="639"/>
      <c r="E18" s="639"/>
      <c r="F18" s="639"/>
      <c r="G18" s="639"/>
    </row>
    <row r="19" spans="1:7">
      <c r="A19" s="1146" t="s">
        <v>107</v>
      </c>
      <c r="B19" s="1146"/>
      <c r="C19" s="674"/>
      <c r="D19" s="674"/>
      <c r="E19" s="674"/>
      <c r="F19" s="674"/>
      <c r="G19" s="674"/>
    </row>
    <row r="20" spans="1:7">
      <c r="A20" s="1124" t="s">
        <v>781</v>
      </c>
      <c r="B20" s="1124"/>
      <c r="C20" s="630">
        <v>748</v>
      </c>
      <c r="D20" s="630"/>
      <c r="E20" s="630"/>
      <c r="F20" s="630">
        <v>748</v>
      </c>
      <c r="G20" s="630">
        <v>754</v>
      </c>
    </row>
    <row r="21" spans="1:7" s="1089" customFormat="1">
      <c r="A21" s="1241" t="s">
        <v>367</v>
      </c>
      <c r="B21" s="1241"/>
      <c r="C21" s="630"/>
      <c r="D21" s="630">
        <v>16</v>
      </c>
      <c r="E21" s="630"/>
      <c r="F21" s="630">
        <v>16</v>
      </c>
      <c r="G21" s="630">
        <v>16</v>
      </c>
    </row>
    <row r="22" spans="1:7">
      <c r="A22" s="1146" t="s">
        <v>108</v>
      </c>
      <c r="B22" s="1146"/>
      <c r="C22" s="674"/>
      <c r="D22" s="674"/>
      <c r="E22" s="674"/>
      <c r="F22" s="674"/>
      <c r="G22" s="674"/>
    </row>
    <row r="23" spans="1:7">
      <c r="A23" s="1124" t="s">
        <v>781</v>
      </c>
      <c r="B23" s="1124"/>
      <c r="C23" s="630">
        <v>74</v>
      </c>
      <c r="D23" s="630"/>
      <c r="E23" s="630"/>
      <c r="F23" s="630">
        <v>74</v>
      </c>
      <c r="G23" s="630">
        <v>74</v>
      </c>
    </row>
    <row r="24" spans="1:7">
      <c r="A24" s="1124" t="s">
        <v>644</v>
      </c>
      <c r="B24" s="1124"/>
      <c r="C24" s="630">
        <v>596</v>
      </c>
      <c r="D24" s="630"/>
      <c r="E24" s="630"/>
      <c r="F24" s="630">
        <v>596</v>
      </c>
      <c r="G24" s="630">
        <v>596</v>
      </c>
    </row>
    <row r="25" spans="1:7">
      <c r="A25" s="1124" t="s">
        <v>367</v>
      </c>
      <c r="B25" s="1124"/>
      <c r="C25" s="630"/>
      <c r="D25" s="630">
        <v>27</v>
      </c>
      <c r="E25" s="630">
        <v>36</v>
      </c>
      <c r="F25" s="630">
        <v>63</v>
      </c>
      <c r="G25" s="630">
        <v>63</v>
      </c>
    </row>
    <row r="26" spans="1:7">
      <c r="A26" s="1123" t="s">
        <v>1421</v>
      </c>
      <c r="B26" s="1123"/>
      <c r="C26" s="625">
        <v>9</v>
      </c>
      <c r="D26" s="625"/>
      <c r="E26" s="625"/>
      <c r="F26" s="625">
        <v>9</v>
      </c>
      <c r="G26" s="625">
        <v>9</v>
      </c>
    </row>
    <row r="27" spans="1:7" ht="11.25" customHeight="1">
      <c r="A27" s="1169" t="s">
        <v>341</v>
      </c>
      <c r="B27" s="1244"/>
      <c r="C27" s="626">
        <v>1428</v>
      </c>
      <c r="D27" s="626">
        <v>43</v>
      </c>
      <c r="E27" s="626">
        <v>36</v>
      </c>
      <c r="F27" s="626">
        <v>1507</v>
      </c>
      <c r="G27" s="626">
        <v>1513</v>
      </c>
    </row>
    <row r="28" spans="1:7" ht="11.25" customHeight="1">
      <c r="A28" s="720"/>
      <c r="B28" s="315"/>
      <c r="C28" s="221"/>
      <c r="D28" s="221"/>
      <c r="E28" s="221"/>
      <c r="F28" s="221"/>
      <c r="G28" s="221"/>
    </row>
    <row r="29" spans="1:7">
      <c r="A29" s="1242">
        <v>2017</v>
      </c>
      <c r="B29" s="1243"/>
      <c r="C29" s="222"/>
      <c r="D29" s="222"/>
      <c r="E29" s="222"/>
      <c r="F29" s="222"/>
      <c r="G29" s="222"/>
    </row>
    <row r="30" spans="1:7" ht="90" customHeight="1">
      <c r="A30" s="1247" t="s">
        <v>740</v>
      </c>
      <c r="B30" s="1248"/>
      <c r="C30" s="762" t="s">
        <v>1298</v>
      </c>
      <c r="D30" s="762" t="s">
        <v>1272</v>
      </c>
      <c r="E30" s="762" t="s">
        <v>1284</v>
      </c>
      <c r="F30" s="277" t="s">
        <v>930</v>
      </c>
      <c r="G30" s="277" t="s">
        <v>1264</v>
      </c>
    </row>
    <row r="31" spans="1:7">
      <c r="A31" s="1249" t="s">
        <v>105</v>
      </c>
      <c r="B31" s="1249"/>
      <c r="C31" s="799"/>
      <c r="D31" s="799"/>
      <c r="E31" s="799"/>
      <c r="F31" s="799"/>
      <c r="G31" s="799"/>
    </row>
    <row r="32" spans="1:7">
      <c r="A32" s="1124" t="s">
        <v>607</v>
      </c>
      <c r="B32" s="1124"/>
      <c r="C32" s="502"/>
      <c r="D32" s="502">
        <v>5</v>
      </c>
      <c r="E32" s="502"/>
      <c r="F32" s="502">
        <v>5</v>
      </c>
      <c r="G32" s="502">
        <v>5</v>
      </c>
    </row>
    <row r="33" spans="1:17">
      <c r="A33" s="1110" t="s">
        <v>610</v>
      </c>
      <c r="B33" s="1110"/>
      <c r="C33" s="502">
        <v>109</v>
      </c>
      <c r="D33" s="502"/>
      <c r="E33" s="502"/>
      <c r="F33" s="502">
        <v>109</v>
      </c>
      <c r="G33" s="502">
        <v>109</v>
      </c>
      <c r="H33" s="1077"/>
      <c r="I33" s="1077"/>
      <c r="J33" s="1077"/>
      <c r="K33" s="1077"/>
      <c r="L33" s="1077"/>
      <c r="M33" s="1077"/>
      <c r="N33" s="1077"/>
      <c r="O33" s="1077"/>
      <c r="P33" s="1077"/>
      <c r="Q33" s="1077"/>
    </row>
    <row r="34" spans="1:17">
      <c r="A34" s="1110" t="s">
        <v>1261</v>
      </c>
      <c r="B34" s="1110"/>
      <c r="C34" s="502"/>
      <c r="D34" s="502">
        <v>13</v>
      </c>
      <c r="E34" s="502"/>
      <c r="F34" s="502">
        <v>13</v>
      </c>
      <c r="G34" s="502">
        <v>13</v>
      </c>
      <c r="H34" s="882"/>
      <c r="I34" s="882"/>
      <c r="J34" s="882"/>
      <c r="K34" s="882"/>
      <c r="N34" s="882"/>
      <c r="O34" s="882"/>
      <c r="P34" s="882"/>
      <c r="Q34" s="882"/>
    </row>
    <row r="35" spans="1:17">
      <c r="A35" s="1124" t="s">
        <v>608</v>
      </c>
      <c r="B35" s="1124"/>
      <c r="C35" s="502">
        <v>3</v>
      </c>
      <c r="D35" s="502"/>
      <c r="E35" s="502"/>
      <c r="F35" s="502">
        <v>3</v>
      </c>
      <c r="G35" s="502">
        <v>3</v>
      </c>
    </row>
    <row r="36" spans="1:17">
      <c r="A36" s="1168" t="s">
        <v>106</v>
      </c>
      <c r="B36" s="1168"/>
      <c r="C36" s="799"/>
      <c r="D36" s="799"/>
      <c r="E36" s="799"/>
      <c r="F36" s="799"/>
      <c r="G36" s="799"/>
    </row>
    <row r="37" spans="1:17">
      <c r="A37" s="1124" t="s">
        <v>610</v>
      </c>
      <c r="B37" s="1124"/>
      <c r="C37" s="502">
        <v>1306</v>
      </c>
      <c r="D37" s="502"/>
      <c r="E37" s="502"/>
      <c r="F37" s="502">
        <v>1306</v>
      </c>
      <c r="G37" s="502">
        <v>1306</v>
      </c>
    </row>
    <row r="38" spans="1:17">
      <c r="A38" s="1110" t="s">
        <v>1271</v>
      </c>
      <c r="B38" s="1110"/>
      <c r="C38" s="502"/>
      <c r="D38" s="502">
        <v>1</v>
      </c>
      <c r="E38" s="502"/>
      <c r="F38" s="502">
        <v>1</v>
      </c>
      <c r="G38" s="502">
        <v>1</v>
      </c>
      <c r="H38" s="1012"/>
      <c r="I38" s="1012"/>
      <c r="J38" s="1012"/>
      <c r="K38" s="1012"/>
      <c r="L38" s="1012"/>
      <c r="M38" s="1012"/>
      <c r="N38" s="1012"/>
      <c r="O38" s="1012"/>
      <c r="P38" s="1012"/>
      <c r="Q38" s="1012"/>
    </row>
    <row r="39" spans="1:17">
      <c r="A39" s="1110" t="s">
        <v>367</v>
      </c>
      <c r="B39" s="1110"/>
      <c r="C39" s="502"/>
      <c r="D39" s="502">
        <v>15</v>
      </c>
      <c r="E39" s="502">
        <v>14</v>
      </c>
      <c r="F39" s="502">
        <v>28</v>
      </c>
      <c r="G39" s="502">
        <v>28</v>
      </c>
    </row>
    <row r="40" spans="1:17">
      <c r="A40" s="1110" t="s">
        <v>1420</v>
      </c>
      <c r="B40" s="1110"/>
      <c r="C40" s="502">
        <v>4</v>
      </c>
      <c r="D40" s="502"/>
      <c r="E40" s="502"/>
      <c r="F40" s="502">
        <v>4</v>
      </c>
      <c r="G40" s="502">
        <v>4</v>
      </c>
    </row>
    <row r="41" spans="1:17">
      <c r="A41" s="1141" t="s">
        <v>550</v>
      </c>
      <c r="B41" s="1141"/>
      <c r="C41" s="480">
        <v>360</v>
      </c>
      <c r="D41" s="480">
        <v>19</v>
      </c>
      <c r="E41" s="480"/>
      <c r="F41" s="480">
        <v>379</v>
      </c>
      <c r="G41" s="480">
        <v>379</v>
      </c>
    </row>
    <row r="42" spans="1:17" ht="11.25" customHeight="1">
      <c r="A42" s="1177" t="s">
        <v>341</v>
      </c>
      <c r="B42" s="1250"/>
      <c r="C42" s="526">
        <v>1782</v>
      </c>
      <c r="D42" s="526">
        <v>53</v>
      </c>
      <c r="E42" s="526">
        <v>14</v>
      </c>
      <c r="F42" s="526">
        <v>1848</v>
      </c>
      <c r="G42" s="526">
        <v>1848</v>
      </c>
    </row>
    <row r="43" spans="1:17">
      <c r="A43" s="523"/>
      <c r="B43" s="523"/>
      <c r="C43" s="499"/>
      <c r="D43" s="499"/>
      <c r="E43" s="499"/>
      <c r="F43" s="499"/>
      <c r="G43" s="499"/>
    </row>
    <row r="44" spans="1:17">
      <c r="A44" s="1168" t="s">
        <v>107</v>
      </c>
      <c r="B44" s="1168"/>
      <c r="C44" s="799"/>
      <c r="D44" s="799"/>
      <c r="E44" s="799"/>
      <c r="F44" s="799"/>
      <c r="G44" s="799"/>
    </row>
    <row r="45" spans="1:17">
      <c r="A45" s="1124" t="s">
        <v>781</v>
      </c>
      <c r="B45" s="1124"/>
      <c r="C45" s="502">
        <v>517</v>
      </c>
      <c r="D45" s="502"/>
      <c r="E45" s="502"/>
      <c r="F45" s="502">
        <v>517</v>
      </c>
      <c r="G45" s="502">
        <v>524</v>
      </c>
    </row>
    <row r="46" spans="1:17" s="1089" customFormat="1">
      <c r="A46" s="1241" t="s">
        <v>367</v>
      </c>
      <c r="B46" s="1241"/>
      <c r="C46" s="502"/>
      <c r="D46" s="502">
        <v>19</v>
      </c>
      <c r="E46" s="502"/>
      <c r="F46" s="502">
        <v>19</v>
      </c>
      <c r="G46" s="502">
        <v>19</v>
      </c>
    </row>
    <row r="47" spans="1:17">
      <c r="A47" s="1168" t="s">
        <v>108</v>
      </c>
      <c r="B47" s="1168"/>
      <c r="C47" s="799"/>
      <c r="D47" s="799"/>
      <c r="E47" s="799"/>
      <c r="F47" s="799"/>
      <c r="G47" s="799"/>
      <c r="H47" s="239"/>
    </row>
    <row r="48" spans="1:17">
      <c r="A48" s="1124" t="s">
        <v>781</v>
      </c>
      <c r="B48" s="1124"/>
      <c r="C48" s="502">
        <v>102</v>
      </c>
      <c r="D48" s="502"/>
      <c r="E48" s="502"/>
      <c r="F48" s="502">
        <v>102</v>
      </c>
      <c r="G48" s="502">
        <v>102</v>
      </c>
    </row>
    <row r="49" spans="1:17">
      <c r="A49" s="1124" t="s">
        <v>644</v>
      </c>
      <c r="B49" s="1124"/>
      <c r="C49" s="502">
        <v>539</v>
      </c>
      <c r="D49" s="502"/>
      <c r="E49" s="502"/>
      <c r="F49" s="502">
        <v>539</v>
      </c>
      <c r="G49" s="502">
        <v>539</v>
      </c>
    </row>
    <row r="50" spans="1:17">
      <c r="A50" s="1124" t="s">
        <v>367</v>
      </c>
      <c r="B50" s="1124"/>
      <c r="C50" s="502"/>
      <c r="D50" s="502">
        <v>12</v>
      </c>
      <c r="E50" s="502">
        <v>10</v>
      </c>
      <c r="F50" s="502">
        <v>22</v>
      </c>
      <c r="G50" s="502">
        <v>22</v>
      </c>
    </row>
    <row r="51" spans="1:17">
      <c r="A51" s="1141" t="s">
        <v>1421</v>
      </c>
      <c r="B51" s="1141"/>
      <c r="C51" s="480">
        <v>11</v>
      </c>
      <c r="D51" s="480"/>
      <c r="E51" s="480"/>
      <c r="F51" s="480">
        <v>11</v>
      </c>
      <c r="G51" s="480">
        <v>11</v>
      </c>
    </row>
    <row r="52" spans="1:17" ht="11.25" customHeight="1">
      <c r="A52" s="1169" t="s">
        <v>341</v>
      </c>
      <c r="B52" s="1244"/>
      <c r="C52" s="526">
        <v>1169</v>
      </c>
      <c r="D52" s="526">
        <v>31</v>
      </c>
      <c r="E52" s="526">
        <v>10</v>
      </c>
      <c r="F52" s="526">
        <v>1211</v>
      </c>
      <c r="G52" s="526">
        <v>1218</v>
      </c>
    </row>
    <row r="53" spans="1:17">
      <c r="A53" s="219"/>
      <c r="B53" s="881"/>
      <c r="C53" s="221"/>
      <c r="D53" s="221"/>
      <c r="E53" s="221"/>
      <c r="F53" s="221"/>
      <c r="G53" s="221"/>
      <c r="H53" s="882"/>
      <c r="I53" s="882"/>
      <c r="J53" s="882"/>
      <c r="K53" s="882"/>
      <c r="N53" s="882"/>
      <c r="O53" s="882"/>
      <c r="P53" s="882"/>
      <c r="Q53" s="882"/>
    </row>
    <row r="54" spans="1:17">
      <c r="A54" s="1196" t="s">
        <v>1301</v>
      </c>
      <c r="B54" s="1190" t="s">
        <v>1421</v>
      </c>
      <c r="C54" s="1242"/>
      <c r="D54" s="1243"/>
      <c r="E54" s="221"/>
      <c r="F54" s="221"/>
      <c r="G54" s="221"/>
      <c r="H54" s="882"/>
      <c r="I54" s="882"/>
      <c r="J54" s="882"/>
      <c r="K54" s="882"/>
      <c r="N54" s="882"/>
      <c r="O54" s="882"/>
      <c r="P54" s="882"/>
      <c r="Q54" s="882"/>
    </row>
    <row r="55" spans="1:17">
      <c r="A55" s="219"/>
      <c r="B55" s="219"/>
      <c r="C55" s="219"/>
      <c r="D55" s="219"/>
      <c r="E55" s="221"/>
      <c r="F55" s="221"/>
      <c r="G55" s="221"/>
      <c r="H55" s="882"/>
      <c r="I55" s="882"/>
      <c r="J55" s="882"/>
      <c r="K55" s="882"/>
      <c r="N55" s="882"/>
      <c r="O55" s="882"/>
      <c r="P55" s="882"/>
      <c r="Q55" s="882"/>
    </row>
    <row r="56" spans="1:17" ht="56.25" customHeight="1">
      <c r="A56" s="1188" t="s">
        <v>1422</v>
      </c>
      <c r="B56" s="1188"/>
      <c r="C56" s="1188"/>
      <c r="D56" s="1188"/>
      <c r="E56" s="1188"/>
      <c r="F56" s="1188"/>
      <c r="G56" s="1188"/>
      <c r="H56" s="909"/>
      <c r="I56" s="909"/>
      <c r="J56" s="909"/>
      <c r="K56" s="909"/>
      <c r="L56" s="909"/>
      <c r="M56" s="909"/>
      <c r="N56" s="909"/>
      <c r="O56" s="909"/>
      <c r="P56" s="909"/>
      <c r="Q56" s="909"/>
    </row>
    <row r="57" spans="1:17" ht="11.25" customHeight="1">
      <c r="A57" s="915"/>
      <c r="B57" s="915"/>
      <c r="C57" s="915"/>
      <c r="D57" s="915"/>
      <c r="E57" s="915"/>
      <c r="F57" s="915"/>
      <c r="G57" s="915"/>
      <c r="H57" s="918"/>
      <c r="I57" s="918"/>
      <c r="J57" s="918"/>
      <c r="K57" s="918"/>
      <c r="L57" s="918"/>
      <c r="M57" s="918"/>
      <c r="N57" s="918"/>
      <c r="O57" s="918"/>
      <c r="P57" s="918"/>
      <c r="Q57" s="918"/>
    </row>
    <row r="58" spans="1:17" ht="11.25" customHeight="1">
      <c r="A58" s="1188" t="s">
        <v>1342</v>
      </c>
      <c r="B58" s="1188"/>
      <c r="C58" s="1188"/>
      <c r="D58" s="1188"/>
      <c r="E58" s="1188"/>
      <c r="F58" s="1188"/>
      <c r="G58" s="1188"/>
      <c r="H58" s="918"/>
      <c r="I58" s="918"/>
      <c r="J58" s="918"/>
      <c r="K58" s="918"/>
      <c r="L58" s="918"/>
      <c r="M58" s="918"/>
      <c r="N58" s="918"/>
      <c r="O58" s="918"/>
      <c r="P58" s="918"/>
      <c r="Q58" s="918"/>
    </row>
    <row r="59" spans="1:17" ht="11.25" customHeight="1">
      <c r="A59" s="1188" t="s">
        <v>1343</v>
      </c>
      <c r="B59" s="1188"/>
      <c r="C59" s="1188"/>
      <c r="D59" s="1188"/>
      <c r="E59" s="1188"/>
      <c r="F59" s="1188"/>
      <c r="G59" s="1188"/>
      <c r="H59" s="918"/>
      <c r="I59" s="918"/>
      <c r="J59" s="918"/>
      <c r="K59" s="918"/>
      <c r="L59" s="918"/>
      <c r="M59" s="918"/>
      <c r="N59" s="918"/>
      <c r="O59" s="918"/>
      <c r="P59" s="918"/>
      <c r="Q59" s="918"/>
    </row>
    <row r="60" spans="1:17" ht="11.25" customHeight="1">
      <c r="A60" s="1188" t="s">
        <v>1345</v>
      </c>
      <c r="B60" s="1188"/>
      <c r="C60" s="1188"/>
      <c r="D60" s="1188"/>
      <c r="E60" s="1188"/>
      <c r="F60" s="1188"/>
      <c r="G60" s="1188"/>
      <c r="H60" s="918"/>
      <c r="I60" s="918"/>
      <c r="J60" s="918"/>
      <c r="K60" s="918"/>
      <c r="L60" s="918"/>
      <c r="M60" s="918"/>
      <c r="N60" s="918"/>
      <c r="O60" s="918"/>
      <c r="P60" s="918"/>
      <c r="Q60" s="918"/>
    </row>
    <row r="61" spans="1:17" ht="11.25" customHeight="1">
      <c r="A61" s="1188" t="s">
        <v>1344</v>
      </c>
      <c r="B61" s="1188"/>
      <c r="C61" s="1188"/>
      <c r="D61" s="1188"/>
      <c r="E61" s="1188"/>
      <c r="F61" s="1188"/>
      <c r="G61" s="1188"/>
      <c r="H61" s="918"/>
      <c r="I61" s="918"/>
      <c r="J61" s="918"/>
      <c r="K61" s="918"/>
      <c r="L61" s="918"/>
      <c r="M61" s="918"/>
      <c r="N61" s="918"/>
      <c r="O61" s="918"/>
      <c r="P61" s="918"/>
      <c r="Q61" s="918"/>
    </row>
    <row r="62" spans="1:17">
      <c r="A62" s="219"/>
      <c r="B62" s="908"/>
      <c r="C62" s="221"/>
      <c r="D62" s="221"/>
      <c r="E62" s="221"/>
      <c r="F62" s="221"/>
      <c r="G62" s="221"/>
      <c r="H62" s="909"/>
      <c r="I62" s="909"/>
      <c r="J62" s="909"/>
      <c r="K62" s="909"/>
      <c r="L62" s="909"/>
      <c r="M62" s="909"/>
      <c r="N62" s="909"/>
      <c r="O62" s="909"/>
      <c r="P62" s="909"/>
      <c r="Q62" s="909"/>
    </row>
    <row r="63" spans="1:17">
      <c r="A63" s="219"/>
      <c r="B63" s="962"/>
      <c r="C63" s="221"/>
      <c r="D63" s="964"/>
      <c r="E63" s="965">
        <v>2018</v>
      </c>
      <c r="F63" s="221"/>
      <c r="G63" s="966">
        <v>2017</v>
      </c>
      <c r="H63" s="963"/>
      <c r="I63" s="963"/>
      <c r="J63" s="963"/>
      <c r="K63" s="963"/>
      <c r="L63" s="963"/>
      <c r="M63" s="963"/>
      <c r="N63" s="963"/>
      <c r="O63" s="963"/>
      <c r="P63" s="963"/>
      <c r="Q63" s="963"/>
    </row>
    <row r="64" spans="1:17">
      <c r="A64" s="1115" t="s">
        <v>740</v>
      </c>
      <c r="B64" s="1115"/>
      <c r="C64" s="573"/>
      <c r="D64" s="899" t="s">
        <v>1285</v>
      </c>
      <c r="E64" s="899" t="s">
        <v>1286</v>
      </c>
      <c r="F64" s="961" t="s">
        <v>1285</v>
      </c>
      <c r="G64" s="961" t="s">
        <v>1286</v>
      </c>
      <c r="H64" s="882"/>
      <c r="I64" s="882"/>
      <c r="J64" s="882"/>
      <c r="K64" s="882"/>
      <c r="N64" s="882"/>
      <c r="O64" s="882"/>
      <c r="P64" s="882"/>
      <c r="Q64" s="882"/>
    </row>
    <row r="65" spans="1:17">
      <c r="A65" s="1112" t="s">
        <v>1287</v>
      </c>
      <c r="B65" s="1112" t="s">
        <v>1421</v>
      </c>
      <c r="C65" s="880"/>
      <c r="D65" s="905"/>
      <c r="E65" s="905"/>
      <c r="F65" s="502"/>
      <c r="G65" s="502"/>
      <c r="H65" s="882"/>
      <c r="I65" s="882"/>
      <c r="J65" s="882"/>
      <c r="K65" s="882"/>
      <c r="N65" s="882"/>
      <c r="O65" s="882"/>
      <c r="P65" s="882"/>
      <c r="Q65" s="882"/>
    </row>
    <row r="66" spans="1:17">
      <c r="A66" s="1110" t="s">
        <v>1261</v>
      </c>
      <c r="B66" s="1110"/>
      <c r="C66" s="880"/>
      <c r="D66" s="630"/>
      <c r="E66" s="630">
        <v>16</v>
      </c>
      <c r="F66" s="502"/>
      <c r="G66" s="502">
        <v>13</v>
      </c>
      <c r="H66" s="882"/>
      <c r="I66" s="882"/>
      <c r="J66" s="882"/>
      <c r="K66" s="882"/>
      <c r="N66" s="882"/>
      <c r="O66" s="882"/>
      <c r="P66" s="882"/>
      <c r="Q66" s="882"/>
    </row>
    <row r="67" spans="1:17">
      <c r="A67" s="1110" t="s">
        <v>1331</v>
      </c>
      <c r="B67" s="1110"/>
      <c r="C67" s="960"/>
      <c r="D67" s="630">
        <v>3</v>
      </c>
      <c r="E67" s="630"/>
      <c r="F67" s="502">
        <v>5</v>
      </c>
      <c r="G67" s="502"/>
      <c r="H67" s="963"/>
      <c r="I67" s="963"/>
      <c r="J67" s="963"/>
      <c r="K67" s="963"/>
      <c r="L67" s="963"/>
      <c r="M67" s="963"/>
      <c r="N67" s="963"/>
      <c r="O67" s="963"/>
      <c r="P67" s="963"/>
      <c r="Q67" s="963"/>
    </row>
    <row r="68" spans="1:17">
      <c r="A68" s="1110" t="s">
        <v>1332</v>
      </c>
      <c r="B68" s="1110"/>
      <c r="C68" s="880"/>
      <c r="D68" s="630">
        <v>3</v>
      </c>
      <c r="E68" s="630"/>
      <c r="F68" s="502">
        <v>3</v>
      </c>
      <c r="G68" s="502"/>
      <c r="H68" s="882"/>
      <c r="I68" s="882"/>
      <c r="J68" s="882"/>
      <c r="K68" s="882"/>
      <c r="N68" s="882"/>
      <c r="O68" s="882"/>
      <c r="P68" s="882"/>
      <c r="Q68" s="882"/>
    </row>
    <row r="69" spans="1:17">
      <c r="A69" s="1110" t="s">
        <v>367</v>
      </c>
      <c r="B69" s="1110"/>
      <c r="C69" s="880"/>
      <c r="D69" s="630">
        <v>12</v>
      </c>
      <c r="E69" s="630"/>
      <c r="F69" s="502">
        <v>28</v>
      </c>
      <c r="G69" s="502"/>
      <c r="H69" s="882"/>
      <c r="I69" s="882"/>
      <c r="J69" s="882"/>
      <c r="K69" s="882"/>
      <c r="N69" s="882"/>
      <c r="O69" s="882"/>
      <c r="P69" s="882"/>
      <c r="Q69" s="882"/>
    </row>
    <row r="70" spans="1:17">
      <c r="A70" s="1112" t="s">
        <v>1288</v>
      </c>
      <c r="B70" s="1112" t="s">
        <v>1421</v>
      </c>
      <c r="C70" s="880"/>
      <c r="D70" s="630"/>
      <c r="E70" s="630"/>
      <c r="F70" s="502"/>
      <c r="G70" s="502"/>
      <c r="H70" s="882"/>
      <c r="I70" s="882"/>
      <c r="J70" s="882"/>
      <c r="K70" s="882"/>
      <c r="N70" s="882"/>
      <c r="O70" s="882"/>
      <c r="P70" s="882"/>
      <c r="Q70" s="882"/>
    </row>
    <row r="71" spans="1:17">
      <c r="A71" s="1110" t="s">
        <v>1397</v>
      </c>
      <c r="B71" s="1110"/>
      <c r="C71" s="960"/>
      <c r="D71" s="630">
        <v>754</v>
      </c>
      <c r="E71" s="630"/>
      <c r="F71" s="502">
        <v>524</v>
      </c>
      <c r="G71" s="502"/>
      <c r="H71" s="963"/>
      <c r="I71" s="963"/>
      <c r="J71" s="963"/>
      <c r="K71" s="963"/>
      <c r="L71" s="963"/>
      <c r="M71" s="963"/>
      <c r="N71" s="963"/>
      <c r="O71" s="963"/>
      <c r="P71" s="963"/>
      <c r="Q71" s="963"/>
    </row>
    <row r="72" spans="1:17">
      <c r="A72" s="1110" t="s">
        <v>367</v>
      </c>
      <c r="B72" s="1110"/>
      <c r="C72" s="938"/>
      <c r="D72" s="630">
        <v>79</v>
      </c>
      <c r="E72" s="630"/>
      <c r="F72" s="502">
        <v>41</v>
      </c>
      <c r="G72" s="502"/>
      <c r="H72" s="882"/>
      <c r="I72" s="882"/>
      <c r="J72" s="882"/>
      <c r="K72" s="882"/>
      <c r="N72" s="882"/>
      <c r="O72" s="882"/>
      <c r="P72" s="882"/>
      <c r="Q72" s="882"/>
    </row>
    <row r="73" spans="1:17">
      <c r="A73" s="219"/>
      <c r="B73" s="219"/>
      <c r="C73" s="219"/>
      <c r="D73" s="219"/>
      <c r="E73" s="221"/>
      <c r="F73" s="221"/>
      <c r="G73" s="221"/>
      <c r="H73" s="882"/>
      <c r="I73" s="882"/>
      <c r="J73" s="882"/>
      <c r="K73" s="882"/>
      <c r="N73" s="882"/>
      <c r="O73" s="882"/>
      <c r="P73" s="882"/>
      <c r="Q73" s="882"/>
    </row>
    <row r="74" spans="1:17">
      <c r="A74" s="1229" t="s">
        <v>1658</v>
      </c>
      <c r="B74" s="1229"/>
      <c r="C74" s="1229"/>
      <c r="D74" s="1229"/>
      <c r="E74" s="1229"/>
      <c r="F74" s="1229"/>
      <c r="G74" s="1229"/>
      <c r="H74" s="996"/>
      <c r="I74" s="996"/>
      <c r="J74" s="996"/>
      <c r="K74" s="996"/>
      <c r="L74" s="996"/>
      <c r="M74" s="996"/>
      <c r="N74" s="996"/>
      <c r="O74" s="996"/>
      <c r="P74" s="996"/>
      <c r="Q74" s="996"/>
    </row>
    <row r="75" spans="1:17">
      <c r="A75" s="219"/>
      <c r="B75" s="219"/>
      <c r="C75" s="219"/>
      <c r="D75" s="219"/>
      <c r="E75" s="221"/>
      <c r="F75" s="221"/>
      <c r="G75" s="221"/>
      <c r="H75" s="996"/>
      <c r="I75" s="996"/>
      <c r="J75" s="996"/>
      <c r="K75" s="996"/>
      <c r="L75" s="996"/>
      <c r="M75" s="996"/>
      <c r="N75" s="996"/>
      <c r="O75" s="996"/>
      <c r="P75" s="996"/>
      <c r="Q75" s="996"/>
    </row>
    <row r="76" spans="1:17" ht="10.5" customHeight="1">
      <c r="A76" s="1229" t="s">
        <v>1443</v>
      </c>
      <c r="B76" s="1229"/>
      <c r="C76" s="1229"/>
      <c r="D76" s="1229"/>
      <c r="E76" s="1229"/>
      <c r="F76" s="1229"/>
      <c r="G76" s="1229"/>
    </row>
    <row r="78" spans="1:17">
      <c r="A78" s="1251" t="s">
        <v>1261</v>
      </c>
      <c r="B78" s="1251"/>
      <c r="C78" s="1251"/>
      <c r="D78" s="1251"/>
      <c r="E78" s="1251"/>
      <c r="F78" s="1251"/>
      <c r="G78" s="1251"/>
      <c r="H78" s="896"/>
      <c r="I78" s="896"/>
      <c r="J78" s="896"/>
      <c r="K78" s="896"/>
      <c r="N78" s="896"/>
      <c r="O78" s="896"/>
      <c r="P78" s="896"/>
      <c r="Q78" s="896"/>
    </row>
    <row r="79" spans="1:17">
      <c r="A79" s="895"/>
      <c r="B79" s="895"/>
      <c r="H79" s="896"/>
      <c r="I79" s="896"/>
      <c r="J79" s="896"/>
      <c r="K79" s="896"/>
      <c r="N79" s="896"/>
      <c r="O79" s="896"/>
      <c r="P79" s="896"/>
      <c r="Q79" s="896"/>
    </row>
    <row r="80" spans="1:17" ht="33.75" customHeight="1">
      <c r="A80" s="1188" t="s">
        <v>1302</v>
      </c>
      <c r="B80" s="1188"/>
      <c r="C80" s="1188"/>
      <c r="D80" s="1188"/>
      <c r="E80" s="1188"/>
      <c r="F80" s="1188"/>
      <c r="G80" s="1188"/>
    </row>
    <row r="82" spans="1:17">
      <c r="A82" s="1145" t="s">
        <v>740</v>
      </c>
      <c r="B82" s="1145"/>
      <c r="C82" s="1145"/>
      <c r="D82" s="574"/>
      <c r="E82" s="574"/>
      <c r="F82" s="662">
        <v>2018</v>
      </c>
      <c r="G82" s="547">
        <v>2017</v>
      </c>
    </row>
    <row r="83" spans="1:17">
      <c r="A83" s="1117" t="s">
        <v>313</v>
      </c>
      <c r="B83" s="1117" t="s">
        <v>313</v>
      </c>
      <c r="C83" s="1117" t="s">
        <v>1179</v>
      </c>
      <c r="D83" s="565"/>
      <c r="E83" s="565"/>
      <c r="F83" s="630">
        <v>13</v>
      </c>
      <c r="G83" s="502">
        <v>15</v>
      </c>
    </row>
    <row r="84" spans="1:17">
      <c r="A84" s="1117" t="s">
        <v>653</v>
      </c>
      <c r="B84" s="1117" t="s">
        <v>653</v>
      </c>
      <c r="C84" s="1117" t="s">
        <v>652</v>
      </c>
      <c r="D84" s="565"/>
      <c r="E84" s="565"/>
      <c r="F84" s="630">
        <v>3</v>
      </c>
      <c r="G84" s="502"/>
    </row>
    <row r="85" spans="1:17">
      <c r="A85" s="1161" t="s">
        <v>957</v>
      </c>
      <c r="B85" s="1161" t="s">
        <v>957</v>
      </c>
      <c r="C85" s="1161" t="s">
        <v>958</v>
      </c>
      <c r="D85" s="565"/>
      <c r="E85" s="565"/>
      <c r="F85" s="630"/>
      <c r="G85" s="502">
        <v>-1</v>
      </c>
      <c r="H85" s="972"/>
      <c r="I85" s="972"/>
      <c r="J85" s="972"/>
      <c r="K85" s="972"/>
      <c r="L85" s="972"/>
      <c r="M85" s="972"/>
      <c r="N85" s="972"/>
      <c r="O85" s="972"/>
      <c r="P85" s="972"/>
      <c r="Q85" s="972"/>
    </row>
    <row r="86" spans="1:17">
      <c r="A86" s="1252" t="s">
        <v>1423</v>
      </c>
      <c r="B86" s="1252" t="s">
        <v>1423</v>
      </c>
      <c r="C86" s="1252" t="s">
        <v>1347</v>
      </c>
      <c r="D86" s="479"/>
      <c r="E86" s="479"/>
      <c r="F86" s="625"/>
      <c r="G86" s="480">
        <v>-1</v>
      </c>
    </row>
    <row r="87" spans="1:17">
      <c r="A87" s="1169" t="s">
        <v>317</v>
      </c>
      <c r="B87" s="1169" t="s">
        <v>317</v>
      </c>
      <c r="C87" s="1169" t="s">
        <v>1180</v>
      </c>
      <c r="D87" s="545"/>
      <c r="E87" s="545"/>
      <c r="F87" s="626">
        <v>16</v>
      </c>
      <c r="G87" s="526">
        <v>13</v>
      </c>
    </row>
    <row r="89" spans="1:17">
      <c r="A89" s="1188" t="s">
        <v>1604</v>
      </c>
      <c r="B89" s="1188"/>
      <c r="C89" s="1188"/>
      <c r="D89" s="1188"/>
      <c r="E89" s="1188"/>
      <c r="F89" s="1188"/>
      <c r="G89" s="1188"/>
    </row>
    <row r="91" spans="1:17">
      <c r="A91" s="1059"/>
      <c r="B91" s="1059"/>
      <c r="C91" s="1059"/>
      <c r="D91" s="1059"/>
      <c r="E91" s="1059"/>
      <c r="F91" s="1059"/>
      <c r="G91" s="1059"/>
      <c r="H91" s="1059"/>
      <c r="I91" s="1059"/>
      <c r="J91" s="1059"/>
      <c r="K91" s="1059"/>
      <c r="L91" s="1059"/>
      <c r="M91" s="1059"/>
      <c r="N91" s="996"/>
      <c r="O91" s="996"/>
      <c r="P91" s="996"/>
      <c r="Q91" s="996"/>
    </row>
    <row r="92" spans="1:17">
      <c r="A92" s="1059"/>
      <c r="B92" s="1059"/>
      <c r="C92" s="1059"/>
      <c r="D92" s="1059"/>
      <c r="E92" s="1059"/>
      <c r="F92" s="1059"/>
      <c r="G92" s="1059"/>
      <c r="H92" s="1059"/>
      <c r="I92" s="1059"/>
      <c r="J92" s="1059"/>
      <c r="K92" s="1059"/>
      <c r="L92" s="1059"/>
      <c r="M92" s="1059"/>
      <c r="N92" s="996"/>
      <c r="O92" s="996"/>
      <c r="P92" s="996"/>
      <c r="Q92" s="996"/>
    </row>
    <row r="93" spans="1:17">
      <c r="A93" s="1059"/>
      <c r="B93" s="1059"/>
      <c r="C93" s="1059"/>
      <c r="D93" s="1059"/>
      <c r="E93" s="1059"/>
      <c r="F93" s="1059"/>
      <c r="G93" s="1059"/>
      <c r="H93" s="1059"/>
      <c r="I93" s="1059"/>
      <c r="J93" s="1059"/>
      <c r="K93" s="1059"/>
      <c r="L93" s="1059"/>
      <c r="M93" s="1059"/>
    </row>
    <row r="94" spans="1:17">
      <c r="A94" s="1059"/>
      <c r="B94" s="1059"/>
      <c r="C94" s="1059"/>
      <c r="D94" s="1059"/>
      <c r="E94" s="1059"/>
      <c r="F94" s="1059"/>
      <c r="G94" s="1059"/>
      <c r="H94" s="1059"/>
      <c r="I94" s="1059"/>
      <c r="J94" s="1059"/>
      <c r="K94" s="1059"/>
      <c r="L94" s="1059"/>
      <c r="M94" s="1059"/>
    </row>
    <row r="95" spans="1:17">
      <c r="A95" s="1059"/>
      <c r="B95" s="1059"/>
      <c r="C95" s="1059"/>
      <c r="D95" s="1059"/>
      <c r="E95" s="1059"/>
      <c r="F95" s="1059"/>
      <c r="G95" s="1059"/>
      <c r="H95" s="1059"/>
      <c r="I95" s="1059"/>
      <c r="J95" s="1059"/>
      <c r="K95" s="1059"/>
      <c r="L95" s="1059"/>
      <c r="M95" s="1059"/>
    </row>
    <row r="96" spans="1:17">
      <c r="A96" s="1059"/>
      <c r="B96" s="1059"/>
      <c r="C96" s="1059"/>
      <c r="D96" s="1059"/>
      <c r="E96" s="1059"/>
      <c r="F96" s="1059"/>
      <c r="G96" s="1059"/>
      <c r="H96" s="1059"/>
      <c r="I96" s="1059"/>
      <c r="J96" s="1059"/>
      <c r="K96" s="1059"/>
      <c r="L96" s="1059"/>
      <c r="M96" s="1059"/>
    </row>
    <row r="97" spans="1:13">
      <c r="A97" s="1059"/>
      <c r="B97" s="1059"/>
      <c r="C97" s="1059"/>
      <c r="D97" s="1059"/>
      <c r="E97" s="1059"/>
      <c r="F97" s="1059"/>
      <c r="G97" s="1059"/>
      <c r="H97" s="1059"/>
      <c r="I97" s="1059"/>
      <c r="J97" s="1059"/>
      <c r="K97" s="1059"/>
      <c r="L97" s="1059"/>
      <c r="M97" s="1059"/>
    </row>
    <row r="98" spans="1:13">
      <c r="A98" s="1059"/>
      <c r="B98" s="1059"/>
      <c r="C98" s="1059"/>
      <c r="D98" s="1059"/>
      <c r="E98" s="1059"/>
      <c r="F98" s="1059"/>
      <c r="G98" s="1059"/>
      <c r="H98" s="1059"/>
      <c r="I98" s="1059"/>
      <c r="J98" s="1059"/>
      <c r="K98" s="1059"/>
      <c r="L98" s="1059"/>
      <c r="M98" s="1059"/>
    </row>
    <row r="99" spans="1:13">
      <c r="A99" s="1059"/>
      <c r="B99" s="1059"/>
      <c r="C99" s="1059"/>
      <c r="D99" s="1059"/>
      <c r="E99" s="1059"/>
      <c r="F99" s="1059"/>
      <c r="G99" s="1059"/>
      <c r="H99" s="1059"/>
      <c r="I99" s="1059"/>
      <c r="J99" s="1059"/>
      <c r="K99" s="1059"/>
      <c r="L99" s="1059"/>
      <c r="M99" s="1059"/>
    </row>
    <row r="100" spans="1:13">
      <c r="A100" s="1058"/>
      <c r="B100" s="1058"/>
      <c r="H100" s="1059"/>
      <c r="I100" s="1059"/>
      <c r="J100" s="1059"/>
      <c r="K100" s="1059"/>
      <c r="L100" s="1059"/>
      <c r="M100" s="1059"/>
    </row>
  </sheetData>
  <mergeCells count="75">
    <mergeCell ref="A84:C84"/>
    <mergeCell ref="A86:C86"/>
    <mergeCell ref="A87:C87"/>
    <mergeCell ref="A89:G89"/>
    <mergeCell ref="A85:C85"/>
    <mergeCell ref="A82:C82"/>
    <mergeCell ref="A83:C83"/>
    <mergeCell ref="A71:B71"/>
    <mergeCell ref="A72:B72"/>
    <mergeCell ref="A74:G74"/>
    <mergeCell ref="A76:G76"/>
    <mergeCell ref="A78:G78"/>
    <mergeCell ref="A80:G80"/>
    <mergeCell ref="A30:B30"/>
    <mergeCell ref="A31:B31"/>
    <mergeCell ref="A32:B32"/>
    <mergeCell ref="A66:B66"/>
    <mergeCell ref="A67:B67"/>
    <mergeCell ref="A54:B54"/>
    <mergeCell ref="A60:G60"/>
    <mergeCell ref="A61:G61"/>
    <mergeCell ref="A48:B48"/>
    <mergeCell ref="A33:B33"/>
    <mergeCell ref="A42:B42"/>
    <mergeCell ref="A47:B47"/>
    <mergeCell ref="A44:B44"/>
    <mergeCell ref="A36:B36"/>
    <mergeCell ref="A41:B41"/>
    <mergeCell ref="A45:B45"/>
    <mergeCell ref="A13:B13"/>
    <mergeCell ref="A29:B29"/>
    <mergeCell ref="A3:B3"/>
    <mergeCell ref="A5:B5"/>
    <mergeCell ref="A11:B11"/>
    <mergeCell ref="A19:B19"/>
    <mergeCell ref="A15:B15"/>
    <mergeCell ref="A16:B16"/>
    <mergeCell ref="A14:B14"/>
    <mergeCell ref="A7:B7"/>
    <mergeCell ref="A1:G1"/>
    <mergeCell ref="A27:B27"/>
    <mergeCell ref="A20:B20"/>
    <mergeCell ref="A23:B23"/>
    <mergeCell ref="A24:B24"/>
    <mergeCell ref="A25:B25"/>
    <mergeCell ref="A26:B26"/>
    <mergeCell ref="A22:B22"/>
    <mergeCell ref="A4:B4"/>
    <mergeCell ref="A17:B17"/>
    <mergeCell ref="A6:B6"/>
    <mergeCell ref="A9:B9"/>
    <mergeCell ref="A10:B10"/>
    <mergeCell ref="A12:B12"/>
    <mergeCell ref="A8:B8"/>
    <mergeCell ref="A21:B21"/>
    <mergeCell ref="A34:B34"/>
    <mergeCell ref="A35:B35"/>
    <mergeCell ref="A37:B37"/>
    <mergeCell ref="A39:B39"/>
    <mergeCell ref="A40:B40"/>
    <mergeCell ref="A38:B38"/>
    <mergeCell ref="A46:B46"/>
    <mergeCell ref="A70:B70"/>
    <mergeCell ref="A56:G56"/>
    <mergeCell ref="A58:G58"/>
    <mergeCell ref="A59:G59"/>
    <mergeCell ref="A49:B49"/>
    <mergeCell ref="A50:B50"/>
    <mergeCell ref="A51:B51"/>
    <mergeCell ref="A68:B68"/>
    <mergeCell ref="A69:B69"/>
    <mergeCell ref="C54:D54"/>
    <mergeCell ref="A64:B64"/>
    <mergeCell ref="A65:B65"/>
    <mergeCell ref="A52:B52"/>
  </mergeCells>
  <phoneticPr fontId="0" type="noConversion"/>
  <pageMargins left="0.74803149606299213" right="0.74803149606299213" top="0.98425196850393704" bottom="0.98425196850393704" header="0.51181102362204722" footer="0.51181102362204722"/>
  <pageSetup paperSize="9" scale="84" orientation="portrait" r:id="rId1"/>
  <headerFooter alignWithMargins="0"/>
  <rowBreaks count="1" manualBreakCount="1">
    <brk id="53" max="6" man="1"/>
  </rowBreaks>
  <customProperties>
    <customPr name="SheetOptions" r:id="rId2"/>
  </customProperties>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2"/>
  <dimension ref="A1:Q10"/>
  <sheetViews>
    <sheetView zoomScaleNormal="100" workbookViewId="0">
      <selection sqref="A1:C1"/>
    </sheetView>
  </sheetViews>
  <sheetFormatPr defaultColWidth="8.7109375" defaultRowHeight="10.199999999999999"/>
  <cols>
    <col min="1" max="1" width="90" style="225" customWidth="1"/>
    <col min="2" max="3" width="20" style="232" customWidth="1"/>
    <col min="4" max="17" width="3.7109375" style="205" customWidth="1"/>
    <col min="18" max="16384" width="8.7109375" style="1079"/>
  </cols>
  <sheetData>
    <row r="1" spans="1:17" ht="15.6">
      <c r="A1" s="1144" t="s">
        <v>1378</v>
      </c>
      <c r="B1" s="1205"/>
      <c r="C1" s="1205"/>
    </row>
    <row r="2" spans="1:17" ht="11.25" customHeight="1">
      <c r="A2" s="351"/>
      <c r="B2" s="361"/>
      <c r="C2" s="361"/>
    </row>
    <row r="3" spans="1:17">
      <c r="A3" s="304" t="s">
        <v>740</v>
      </c>
      <c r="B3" s="650">
        <v>2018</v>
      </c>
      <c r="C3" s="309">
        <v>2017</v>
      </c>
    </row>
    <row r="4" spans="1:17">
      <c r="A4" s="472" t="s">
        <v>648</v>
      </c>
      <c r="B4" s="630">
        <v>471</v>
      </c>
      <c r="C4" s="502">
        <v>432</v>
      </c>
    </row>
    <row r="5" spans="1:17">
      <c r="A5" s="472" t="s">
        <v>649</v>
      </c>
      <c r="B5" s="630">
        <v>615</v>
      </c>
      <c r="C5" s="502">
        <v>557</v>
      </c>
      <c r="Q5" s="1064"/>
    </row>
    <row r="6" spans="1:17">
      <c r="A6" s="472" t="s">
        <v>65</v>
      </c>
      <c r="B6" s="630">
        <v>35</v>
      </c>
      <c r="C6" s="502">
        <v>27</v>
      </c>
      <c r="M6" s="239"/>
    </row>
    <row r="7" spans="1:17">
      <c r="A7" s="546" t="s">
        <v>759</v>
      </c>
      <c r="B7" s="625">
        <v>43</v>
      </c>
      <c r="C7" s="480">
        <v>36</v>
      </c>
    </row>
    <row r="8" spans="1:17">
      <c r="A8" s="527" t="s">
        <v>620</v>
      </c>
      <c r="B8" s="626">
        <v>1165</v>
      </c>
      <c r="C8" s="526">
        <v>1051</v>
      </c>
    </row>
    <row r="9" spans="1:17">
      <c r="A9" s="220"/>
      <c r="B9" s="221"/>
      <c r="C9" s="221"/>
    </row>
    <row r="10" spans="1:17" ht="22.5" customHeight="1">
      <c r="A10" s="1216" t="s">
        <v>1475</v>
      </c>
      <c r="B10" s="1216"/>
      <c r="C10" s="1216"/>
    </row>
  </sheetData>
  <mergeCells count="2">
    <mergeCell ref="A1:C1"/>
    <mergeCell ref="A10:C10"/>
  </mergeCells>
  <phoneticPr fontId="49" type="noConversion"/>
  <pageMargins left="0.75" right="0.75" top="1" bottom="1" header="0.5" footer="0.5"/>
  <pageSetup scale="87" orientation="portrait" r:id="rId1"/>
  <headerFooter alignWithMargins="0"/>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EBBE8-A43C-4A82-9B8C-54E17A2FCB2E}">
  <sheetPr codeName="Sheet37"/>
  <dimension ref="A1:Q23"/>
  <sheetViews>
    <sheetView zoomScaleNormal="100" workbookViewId="0">
      <selection activeCell="A23" sqref="A23:C23"/>
    </sheetView>
  </sheetViews>
  <sheetFormatPr defaultColWidth="8.7109375" defaultRowHeight="10.199999999999999"/>
  <cols>
    <col min="1" max="1" width="90" style="988" customWidth="1"/>
    <col min="2" max="3" width="20" style="232" customWidth="1"/>
    <col min="4" max="17" width="3.7109375" style="996" customWidth="1"/>
    <col min="18" max="16384" width="8.7109375" style="1079"/>
  </cols>
  <sheetData>
    <row r="1" spans="1:17" ht="15.6">
      <c r="A1" s="1144" t="s">
        <v>1616</v>
      </c>
      <c r="B1" s="1205"/>
      <c r="C1" s="1205"/>
    </row>
    <row r="2" spans="1:17" ht="11.25" customHeight="1">
      <c r="A2" s="992"/>
      <c r="B2" s="361"/>
      <c r="C2" s="361"/>
    </row>
    <row r="3" spans="1:17">
      <c r="A3" s="991" t="s">
        <v>740</v>
      </c>
      <c r="B3" s="650">
        <v>2018</v>
      </c>
      <c r="C3" s="309">
        <v>2017</v>
      </c>
    </row>
    <row r="4" spans="1:17">
      <c r="A4" s="983" t="s">
        <v>610</v>
      </c>
      <c r="B4" s="630">
        <v>1271</v>
      </c>
      <c r="C4" s="502">
        <v>1416</v>
      </c>
    </row>
    <row r="5" spans="1:17">
      <c r="A5" s="983" t="s">
        <v>1405</v>
      </c>
      <c r="B5" s="630">
        <v>557</v>
      </c>
      <c r="C5" s="502">
        <v>351</v>
      </c>
    </row>
    <row r="6" spans="1:17">
      <c r="A6" s="1070" t="s">
        <v>1406</v>
      </c>
      <c r="B6" s="630"/>
      <c r="C6" s="502"/>
      <c r="D6" s="1072"/>
      <c r="E6" s="1072"/>
      <c r="F6" s="1072"/>
      <c r="G6" s="1072"/>
      <c r="H6" s="1072"/>
      <c r="I6" s="1072"/>
      <c r="J6" s="1072"/>
      <c r="K6" s="1072"/>
      <c r="L6" s="1072"/>
      <c r="M6" s="1072"/>
      <c r="N6" s="1072"/>
      <c r="O6" s="1072"/>
      <c r="P6" s="1072"/>
      <c r="Q6" s="1072"/>
    </row>
    <row r="7" spans="1:17">
      <c r="A7" s="1093" t="s">
        <v>399</v>
      </c>
      <c r="B7" s="630">
        <v>584</v>
      </c>
      <c r="C7" s="502">
        <v>523</v>
      </c>
      <c r="D7" s="1072"/>
      <c r="E7" s="1072"/>
      <c r="F7" s="1072"/>
      <c r="G7" s="1072"/>
      <c r="H7" s="1072"/>
      <c r="I7" s="1072"/>
      <c r="J7" s="1072"/>
      <c r="K7" s="1072"/>
      <c r="L7" s="1072"/>
      <c r="M7" s="1072"/>
      <c r="N7" s="1072"/>
      <c r="O7" s="1072"/>
      <c r="P7" s="1072"/>
      <c r="Q7" s="1072"/>
    </row>
    <row r="8" spans="1:17">
      <c r="A8" s="1093" t="s">
        <v>1603</v>
      </c>
      <c r="B8" s="630">
        <v>345</v>
      </c>
      <c r="C8" s="502">
        <v>265</v>
      </c>
      <c r="D8" s="1072"/>
      <c r="E8" s="1072"/>
      <c r="F8" s="1072"/>
      <c r="G8" s="1072"/>
      <c r="H8" s="1072"/>
      <c r="I8" s="1072"/>
      <c r="J8" s="1072"/>
      <c r="K8" s="1072"/>
      <c r="L8" s="1072"/>
      <c r="M8" s="1072"/>
      <c r="N8" s="1072"/>
      <c r="O8" s="1072"/>
      <c r="P8" s="1072"/>
      <c r="Q8" s="1072"/>
    </row>
    <row r="9" spans="1:17">
      <c r="A9" s="1073"/>
      <c r="B9" s="630"/>
      <c r="C9" s="502"/>
      <c r="D9" s="1072"/>
      <c r="E9" s="1072"/>
      <c r="F9" s="1072"/>
      <c r="G9" s="1072"/>
      <c r="H9" s="1072"/>
      <c r="I9" s="1072"/>
      <c r="J9" s="1072"/>
      <c r="K9" s="1072"/>
      <c r="L9" s="1072"/>
      <c r="M9" s="1072"/>
      <c r="N9" s="1072"/>
      <c r="O9" s="1072"/>
      <c r="P9" s="1072"/>
      <c r="Q9" s="1072"/>
    </row>
    <row r="10" spans="1:17">
      <c r="A10" s="1075" t="s">
        <v>1615</v>
      </c>
      <c r="B10" s="630"/>
      <c r="C10" s="502"/>
      <c r="D10" s="1072"/>
      <c r="E10" s="1072"/>
      <c r="F10" s="1072"/>
      <c r="G10" s="1072"/>
      <c r="H10" s="1072"/>
      <c r="I10" s="1072"/>
      <c r="J10" s="1072"/>
      <c r="K10" s="1072"/>
      <c r="L10" s="1072"/>
      <c r="M10" s="1072"/>
      <c r="N10" s="1072"/>
      <c r="O10" s="1072"/>
      <c r="P10" s="1072"/>
      <c r="Q10" s="1072"/>
    </row>
    <row r="11" spans="1:17">
      <c r="A11" s="1093" t="s">
        <v>532</v>
      </c>
      <c r="B11" s="630">
        <v>49</v>
      </c>
      <c r="C11" s="502">
        <v>109</v>
      </c>
      <c r="D11" s="1072"/>
      <c r="E11" s="1072"/>
      <c r="F11" s="1072"/>
      <c r="G11" s="1072"/>
      <c r="H11" s="1072"/>
      <c r="I11" s="1072"/>
      <c r="J11" s="1072"/>
      <c r="K11" s="1072"/>
      <c r="L11" s="1072"/>
      <c r="M11" s="1072"/>
      <c r="N11" s="1072"/>
      <c r="O11" s="1072"/>
      <c r="P11" s="1072"/>
      <c r="Q11" s="1072"/>
    </row>
    <row r="12" spans="1:17">
      <c r="A12" s="1093" t="s">
        <v>533</v>
      </c>
      <c r="B12" s="630">
        <v>1779</v>
      </c>
      <c r="C12" s="502">
        <v>1658</v>
      </c>
      <c r="D12" s="1072"/>
      <c r="E12" s="1072"/>
      <c r="F12" s="1072"/>
      <c r="G12" s="1072"/>
      <c r="H12" s="1072"/>
      <c r="I12" s="1072"/>
      <c r="J12" s="1072"/>
      <c r="K12" s="1072"/>
      <c r="L12" s="1072"/>
      <c r="M12" s="1072"/>
      <c r="N12" s="1072"/>
      <c r="O12" s="1072"/>
      <c r="P12" s="1072"/>
      <c r="Q12" s="1072"/>
    </row>
    <row r="13" spans="1:17">
      <c r="A13" s="1093"/>
      <c r="B13" s="630"/>
      <c r="C13" s="502"/>
      <c r="D13" s="1072"/>
      <c r="E13" s="1072"/>
      <c r="F13" s="1072"/>
      <c r="G13" s="1072"/>
      <c r="H13" s="1072"/>
      <c r="I13" s="1072"/>
      <c r="J13" s="1072"/>
      <c r="K13" s="1072"/>
      <c r="L13" s="1072"/>
      <c r="M13" s="1072"/>
      <c r="N13" s="1072"/>
      <c r="O13" s="1072"/>
      <c r="P13" s="1072"/>
      <c r="Q13" s="1072"/>
    </row>
    <row r="14" spans="1:17">
      <c r="A14" s="1075" t="s">
        <v>1406</v>
      </c>
      <c r="B14" s="630"/>
      <c r="C14" s="502"/>
      <c r="D14" s="1072"/>
      <c r="E14" s="1072"/>
      <c r="F14" s="1072"/>
      <c r="G14" s="1072"/>
      <c r="H14" s="1072"/>
      <c r="I14" s="1072"/>
      <c r="J14" s="1072"/>
      <c r="K14" s="1072"/>
      <c r="L14" s="1072"/>
      <c r="M14" s="1072"/>
      <c r="N14" s="1072"/>
      <c r="O14" s="1072"/>
      <c r="P14" s="1072"/>
      <c r="Q14" s="1072"/>
    </row>
    <row r="15" spans="1:17">
      <c r="A15" s="1093" t="s">
        <v>532</v>
      </c>
      <c r="B15" s="630">
        <v>41</v>
      </c>
      <c r="C15" s="502">
        <v>64</v>
      </c>
      <c r="D15" s="1072"/>
      <c r="E15" s="1072"/>
      <c r="F15" s="1072"/>
      <c r="G15" s="1072"/>
      <c r="H15" s="1072"/>
      <c r="I15" s="1072"/>
      <c r="J15" s="1072"/>
      <c r="K15" s="1072"/>
      <c r="L15" s="1072"/>
      <c r="M15" s="1072"/>
      <c r="N15" s="1072"/>
      <c r="O15" s="1072"/>
      <c r="P15" s="1072"/>
      <c r="Q15" s="1072"/>
    </row>
    <row r="16" spans="1:17">
      <c r="A16" s="1093" t="s">
        <v>533</v>
      </c>
      <c r="B16" s="630">
        <v>888</v>
      </c>
      <c r="C16" s="502">
        <v>724</v>
      </c>
      <c r="D16" s="1072"/>
      <c r="E16" s="1072"/>
      <c r="F16" s="1072"/>
      <c r="G16" s="1072"/>
      <c r="H16" s="1072"/>
      <c r="I16" s="1072"/>
      <c r="J16" s="1072"/>
      <c r="K16" s="1072"/>
      <c r="L16" s="1072"/>
      <c r="M16" s="1072"/>
      <c r="N16" s="1072"/>
      <c r="O16" s="1072"/>
      <c r="P16" s="1072"/>
      <c r="Q16" s="1072"/>
    </row>
    <row r="17" spans="1:17">
      <c r="A17" s="1073"/>
      <c r="B17" s="630"/>
      <c r="C17" s="502"/>
      <c r="D17" s="1072"/>
      <c r="E17" s="1072"/>
      <c r="F17" s="1072"/>
      <c r="G17" s="1072"/>
      <c r="H17" s="1072"/>
      <c r="I17" s="1072"/>
      <c r="J17" s="1072"/>
      <c r="K17" s="1072"/>
      <c r="L17" s="1072"/>
      <c r="M17" s="1072"/>
      <c r="N17" s="1072"/>
      <c r="O17" s="1072"/>
      <c r="P17" s="1072"/>
      <c r="Q17" s="1072"/>
    </row>
    <row r="18" spans="1:17">
      <c r="A18" s="734" t="s">
        <v>1617</v>
      </c>
      <c r="B18" s="630">
        <v>724</v>
      </c>
      <c r="C18" s="502">
        <v>615</v>
      </c>
      <c r="D18" s="1072"/>
      <c r="E18" s="1072"/>
      <c r="F18" s="1072"/>
      <c r="G18" s="1072"/>
      <c r="H18" s="1072"/>
      <c r="I18" s="1072"/>
      <c r="J18" s="1072"/>
      <c r="K18" s="1072"/>
      <c r="L18" s="1072"/>
      <c r="M18" s="1072"/>
      <c r="N18" s="1072"/>
      <c r="O18" s="1072"/>
      <c r="P18" s="1072"/>
      <c r="Q18" s="1072"/>
    </row>
    <row r="19" spans="1:17">
      <c r="A19" s="1074" t="s">
        <v>1618</v>
      </c>
      <c r="B19" s="625">
        <v>3794</v>
      </c>
      <c r="C19" s="480"/>
      <c r="M19" s="239"/>
    </row>
    <row r="20" spans="1:17">
      <c r="A20" s="989"/>
      <c r="B20" s="221"/>
      <c r="C20" s="221"/>
    </row>
    <row r="21" spans="1:17" ht="15.6" customHeight="1">
      <c r="A21" s="1188" t="s">
        <v>1623</v>
      </c>
      <c r="B21" s="1188"/>
      <c r="C21" s="1188"/>
      <c r="D21" s="1028"/>
      <c r="E21" s="1028"/>
      <c r="F21" s="1028"/>
      <c r="G21" s="1028"/>
      <c r="H21" s="1028"/>
      <c r="I21" s="1028"/>
      <c r="J21" s="1028"/>
      <c r="K21" s="1028"/>
      <c r="L21" s="1028"/>
      <c r="M21" s="1028"/>
      <c r="N21" s="1028"/>
      <c r="O21" s="1028"/>
      <c r="P21" s="1028"/>
      <c r="Q21" s="1028"/>
    </row>
    <row r="22" spans="1:17">
      <c r="A22" s="1037"/>
      <c r="D22" s="1038"/>
      <c r="E22" s="1038"/>
      <c r="F22" s="1038"/>
      <c r="G22" s="1038"/>
      <c r="H22" s="1038"/>
      <c r="I22" s="1038"/>
      <c r="J22" s="1038"/>
      <c r="K22" s="1038"/>
      <c r="L22" s="1038"/>
      <c r="M22" s="1038"/>
      <c r="N22" s="1038"/>
      <c r="O22" s="1038"/>
      <c r="P22" s="1038"/>
      <c r="Q22" s="1038"/>
    </row>
    <row r="23" spans="1:17" ht="135.6" customHeight="1">
      <c r="A23" s="1148" t="s">
        <v>1659</v>
      </c>
      <c r="B23" s="1148" t="s">
        <v>1602</v>
      </c>
      <c r="C23" s="1148">
        <v>0</v>
      </c>
    </row>
  </sheetData>
  <mergeCells count="3">
    <mergeCell ref="A1:C1"/>
    <mergeCell ref="A23:C23"/>
    <mergeCell ref="A21:C21"/>
  </mergeCells>
  <pageMargins left="0.75" right="0.75" top="1" bottom="1" header="0.5" footer="0.5"/>
  <pageSetup scale="87"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dimension ref="A1:Q21"/>
  <sheetViews>
    <sheetView zoomScaleNormal="100" workbookViewId="0">
      <selection sqref="A1:C1"/>
    </sheetView>
  </sheetViews>
  <sheetFormatPr defaultColWidth="8.7109375" defaultRowHeight="10.199999999999999"/>
  <cols>
    <col min="1" max="1" width="90" style="225" customWidth="1"/>
    <col min="2" max="3" width="20" style="232" customWidth="1"/>
    <col min="4" max="17" width="3.7109375" style="205" customWidth="1"/>
    <col min="18" max="16384" width="8.7109375" style="1079"/>
  </cols>
  <sheetData>
    <row r="1" spans="1:17" ht="15.6">
      <c r="A1" s="1151" t="s">
        <v>1280</v>
      </c>
      <c r="B1" s="1236"/>
      <c r="C1" s="1236"/>
    </row>
    <row r="2" spans="1:17">
      <c r="A2" s="205"/>
      <c r="B2" s="350"/>
      <c r="C2" s="350"/>
    </row>
    <row r="3" spans="1:17">
      <c r="A3" s="1012"/>
      <c r="B3" s="350"/>
      <c r="C3" s="489" t="s">
        <v>1025</v>
      </c>
      <c r="D3" s="1012"/>
      <c r="E3" s="1012"/>
      <c r="F3" s="1012"/>
      <c r="G3" s="1012"/>
      <c r="H3" s="1012"/>
      <c r="I3" s="1012"/>
      <c r="J3" s="1012"/>
      <c r="K3" s="1012"/>
      <c r="L3" s="1012"/>
      <c r="M3" s="1012"/>
      <c r="N3" s="1012"/>
      <c r="O3" s="1012"/>
      <c r="P3" s="1012"/>
      <c r="Q3" s="1012"/>
    </row>
    <row r="4" spans="1:17" ht="11.25" customHeight="1">
      <c r="A4" s="304" t="s">
        <v>740</v>
      </c>
      <c r="B4" s="650">
        <v>2018</v>
      </c>
      <c r="C4" s="309">
        <v>2017</v>
      </c>
    </row>
    <row r="5" spans="1:17" ht="11.25" customHeight="1">
      <c r="A5" s="472" t="s">
        <v>367</v>
      </c>
      <c r="B5" s="630">
        <v>12</v>
      </c>
      <c r="C5" s="502">
        <v>28</v>
      </c>
    </row>
    <row r="6" spans="1:17" ht="11.25" customHeight="1">
      <c r="A6" s="472" t="s">
        <v>530</v>
      </c>
      <c r="B6" s="630">
        <v>3</v>
      </c>
      <c r="C6" s="502">
        <v>4</v>
      </c>
    </row>
    <row r="7" spans="1:17" ht="11.25" customHeight="1">
      <c r="A7" s="472" t="s">
        <v>37</v>
      </c>
      <c r="B7" s="630">
        <v>5</v>
      </c>
      <c r="C7" s="502">
        <v>3</v>
      </c>
    </row>
    <row r="8" spans="1:17" ht="11.25" customHeight="1">
      <c r="A8" s="472" t="s">
        <v>38</v>
      </c>
      <c r="B8" s="630">
        <v>3</v>
      </c>
      <c r="C8" s="502">
        <v>4</v>
      </c>
    </row>
    <row r="9" spans="1:17" ht="11.25" customHeight="1">
      <c r="A9" s="1070" t="s">
        <v>1600</v>
      </c>
      <c r="B9" s="630">
        <v>6</v>
      </c>
      <c r="C9" s="502"/>
    </row>
    <row r="10" spans="1:17" ht="11.25" customHeight="1">
      <c r="A10" s="472" t="s">
        <v>440</v>
      </c>
      <c r="B10" s="630">
        <v>42</v>
      </c>
      <c r="C10" s="502">
        <v>46</v>
      </c>
    </row>
    <row r="11" spans="1:17" ht="11.25" customHeight="1">
      <c r="A11" s="472" t="s">
        <v>84</v>
      </c>
      <c r="B11" s="630">
        <v>3</v>
      </c>
      <c r="C11" s="502">
        <v>3</v>
      </c>
    </row>
    <row r="12" spans="1:17" ht="11.25" customHeight="1">
      <c r="A12" s="472" t="s">
        <v>730</v>
      </c>
      <c r="B12" s="630"/>
      <c r="C12" s="502">
        <v>1</v>
      </c>
    </row>
    <row r="13" spans="1:17" ht="11.25" customHeight="1">
      <c r="A13" s="472" t="s">
        <v>441</v>
      </c>
      <c r="B13" s="630">
        <v>104</v>
      </c>
      <c r="C13" s="502">
        <v>97</v>
      </c>
    </row>
    <row r="14" spans="1:17" ht="11.25" customHeight="1">
      <c r="A14" s="546" t="s">
        <v>1097</v>
      </c>
      <c r="B14" s="625">
        <v>83</v>
      </c>
      <c r="C14" s="480">
        <v>52</v>
      </c>
    </row>
    <row r="15" spans="1:17" ht="11.25" customHeight="1">
      <c r="A15" s="527" t="s">
        <v>620</v>
      </c>
      <c r="B15" s="626">
        <v>262</v>
      </c>
      <c r="C15" s="526">
        <v>238</v>
      </c>
    </row>
    <row r="16" spans="1:17" ht="11.25" customHeight="1">
      <c r="A16" s="523"/>
      <c r="B16" s="630"/>
      <c r="C16" s="499"/>
    </row>
    <row r="17" spans="1:3" ht="11.25" customHeight="1">
      <c r="A17" s="506" t="s">
        <v>532</v>
      </c>
      <c r="B17" s="630">
        <v>34</v>
      </c>
      <c r="C17" s="502">
        <v>18</v>
      </c>
    </row>
    <row r="18" spans="1:3" ht="11.25" customHeight="1">
      <c r="A18" s="506" t="s">
        <v>533</v>
      </c>
      <c r="B18" s="630">
        <v>228</v>
      </c>
      <c r="C18" s="502">
        <v>221</v>
      </c>
    </row>
    <row r="20" spans="1:3" ht="11.25" customHeight="1">
      <c r="A20" s="1148" t="s">
        <v>1566</v>
      </c>
      <c r="B20" s="1148"/>
      <c r="C20" s="1148"/>
    </row>
    <row r="21" spans="1:3">
      <c r="A21" s="748"/>
    </row>
  </sheetData>
  <mergeCells count="2">
    <mergeCell ref="A1:C1"/>
    <mergeCell ref="A20:C20"/>
  </mergeCells>
  <phoneticPr fontId="0" type="noConversion"/>
  <pageMargins left="0.75" right="0.75" top="1" bottom="1" header="0.5" footer="0.5"/>
  <pageSetup scale="87"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dimension ref="A1:Q9"/>
  <sheetViews>
    <sheetView zoomScaleNormal="100" workbookViewId="0">
      <selection sqref="A1:C1"/>
    </sheetView>
  </sheetViews>
  <sheetFormatPr defaultColWidth="8.7109375" defaultRowHeight="10.199999999999999"/>
  <cols>
    <col min="1" max="1" width="90" style="225" customWidth="1"/>
    <col min="2" max="3" width="20" style="232" customWidth="1"/>
    <col min="4" max="17" width="3.7109375" style="205" customWidth="1"/>
    <col min="18" max="16384" width="8.7109375" style="1079"/>
  </cols>
  <sheetData>
    <row r="1" spans="1:3" ht="15.75" customHeight="1">
      <c r="A1" s="1253" t="s">
        <v>1281</v>
      </c>
      <c r="B1" s="1254"/>
      <c r="C1" s="1254"/>
    </row>
    <row r="2" spans="1:3" ht="11.25" customHeight="1">
      <c r="A2" s="351"/>
      <c r="B2" s="345"/>
      <c r="C2" s="345"/>
    </row>
    <row r="3" spans="1:3" ht="11.25" customHeight="1">
      <c r="A3" s="304" t="s">
        <v>740</v>
      </c>
      <c r="B3" s="650">
        <v>2018</v>
      </c>
      <c r="C3" s="309">
        <v>2017</v>
      </c>
    </row>
    <row r="4" spans="1:3" ht="11.25" customHeight="1">
      <c r="A4" s="472" t="s">
        <v>1228</v>
      </c>
      <c r="B4" s="630">
        <v>461</v>
      </c>
      <c r="C4" s="502">
        <v>359</v>
      </c>
    </row>
    <row r="5" spans="1:3" ht="11.25" customHeight="1">
      <c r="A5" s="546" t="s">
        <v>1305</v>
      </c>
      <c r="B5" s="625">
        <v>26</v>
      </c>
      <c r="C5" s="480">
        <v>20</v>
      </c>
    </row>
    <row r="6" spans="1:3" ht="11.25" customHeight="1">
      <c r="A6" s="527" t="s">
        <v>620</v>
      </c>
      <c r="B6" s="626">
        <v>487</v>
      </c>
      <c r="C6" s="526">
        <v>379</v>
      </c>
    </row>
    <row r="8" spans="1:3" ht="22.5" customHeight="1">
      <c r="A8" s="1148" t="s">
        <v>1483</v>
      </c>
      <c r="B8" s="1148"/>
      <c r="C8" s="1148"/>
    </row>
    <row r="9" spans="1:3">
      <c r="A9" s="834"/>
    </row>
  </sheetData>
  <mergeCells count="2">
    <mergeCell ref="A1:C1"/>
    <mergeCell ref="A8:C8"/>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0"/>
  <dimension ref="A1:Q63"/>
  <sheetViews>
    <sheetView zoomScaleNormal="100" workbookViewId="0">
      <selection sqref="A1:J1"/>
    </sheetView>
  </sheetViews>
  <sheetFormatPr defaultColWidth="8.7109375" defaultRowHeight="10.199999999999999"/>
  <cols>
    <col min="1" max="1" width="2.42578125" style="243" customWidth="1"/>
    <col min="2" max="2" width="54.140625" style="338" customWidth="1"/>
    <col min="3" max="10" width="9.140625" style="232" customWidth="1"/>
    <col min="11" max="17" width="3.7109375" style="205" customWidth="1"/>
    <col min="18" max="16384" width="8.7109375" style="243"/>
  </cols>
  <sheetData>
    <row r="1" spans="1:17" ht="15.75" customHeight="1">
      <c r="A1" s="1144" t="s">
        <v>1212</v>
      </c>
      <c r="B1" s="1144"/>
      <c r="C1" s="1144"/>
      <c r="D1" s="1144"/>
      <c r="E1" s="1144"/>
      <c r="F1" s="1144"/>
      <c r="G1" s="1144"/>
      <c r="H1" s="1144"/>
      <c r="I1" s="1144"/>
      <c r="J1" s="1144"/>
    </row>
    <row r="2" spans="1:17" ht="11.25" customHeight="1">
      <c r="A2" s="1003"/>
      <c r="B2" s="1003"/>
      <c r="C2" s="1003"/>
      <c r="D2" s="1003"/>
      <c r="E2" s="1003"/>
      <c r="F2" s="1003"/>
      <c r="G2" s="1003"/>
      <c r="H2" s="1003"/>
      <c r="I2" s="1003"/>
      <c r="J2" s="1003"/>
      <c r="K2" s="1005"/>
      <c r="L2" s="1005"/>
      <c r="M2" s="1005"/>
      <c r="N2" s="1005"/>
      <c r="O2" s="1005"/>
      <c r="P2" s="1005"/>
      <c r="Q2" s="1005"/>
    </row>
    <row r="3" spans="1:17">
      <c r="B3" s="355"/>
      <c r="C3" s="257"/>
      <c r="D3" s="257"/>
      <c r="E3" s="257"/>
      <c r="F3" s="257"/>
      <c r="G3" s="1001" t="s">
        <v>1025</v>
      </c>
      <c r="H3" s="1001" t="s">
        <v>1025</v>
      </c>
      <c r="I3" s="1001" t="s">
        <v>1025</v>
      </c>
      <c r="J3" s="1001" t="s">
        <v>1025</v>
      </c>
    </row>
    <row r="4" spans="1:17" ht="20.399999999999999">
      <c r="A4" s="1145" t="s">
        <v>740</v>
      </c>
      <c r="B4" s="1145"/>
      <c r="C4" s="677" t="s">
        <v>1358</v>
      </c>
      <c r="D4" s="677" t="s">
        <v>1359</v>
      </c>
      <c r="E4" s="677" t="s">
        <v>1360</v>
      </c>
      <c r="F4" s="677" t="s">
        <v>1361</v>
      </c>
      <c r="G4" s="577" t="s">
        <v>1239</v>
      </c>
      <c r="H4" s="577" t="s">
        <v>1238</v>
      </c>
      <c r="I4" s="577" t="s">
        <v>1237</v>
      </c>
      <c r="J4" s="577" t="s">
        <v>1236</v>
      </c>
    </row>
    <row r="5" spans="1:17">
      <c r="A5" s="1146" t="s">
        <v>1207</v>
      </c>
      <c r="B5" s="1146"/>
      <c r="C5" s="639"/>
      <c r="D5" s="639"/>
      <c r="E5" s="639"/>
      <c r="F5" s="639"/>
      <c r="G5" s="548"/>
      <c r="H5" s="548"/>
      <c r="I5" s="548"/>
      <c r="J5" s="548"/>
    </row>
    <row r="6" spans="1:17" ht="11.25" customHeight="1">
      <c r="A6" s="1110" t="s">
        <v>323</v>
      </c>
      <c r="B6" s="1110"/>
      <c r="C6" s="630">
        <v>865</v>
      </c>
      <c r="D6" s="630">
        <v>699</v>
      </c>
      <c r="E6" s="630">
        <v>785</v>
      </c>
      <c r="F6" s="630">
        <v>737</v>
      </c>
      <c r="G6" s="502">
        <v>696</v>
      </c>
      <c r="H6" s="502">
        <v>598</v>
      </c>
      <c r="I6" s="502">
        <v>641</v>
      </c>
      <c r="J6" s="502">
        <v>735</v>
      </c>
    </row>
    <row r="7" spans="1:17" ht="11.25" customHeight="1">
      <c r="A7" s="1110" t="s">
        <v>1107</v>
      </c>
      <c r="B7" s="1110"/>
      <c r="C7" s="630">
        <v>589</v>
      </c>
      <c r="D7" s="630">
        <v>148</v>
      </c>
      <c r="E7" s="630">
        <v>360</v>
      </c>
      <c r="F7" s="630">
        <v>414</v>
      </c>
      <c r="G7" s="502">
        <v>501</v>
      </c>
      <c r="H7" s="502">
        <v>418</v>
      </c>
      <c r="I7" s="502">
        <v>361</v>
      </c>
      <c r="J7" s="502">
        <v>405</v>
      </c>
    </row>
    <row r="8" spans="1:17" ht="11.25" customHeight="1">
      <c r="A8" s="1141" t="s">
        <v>1106</v>
      </c>
      <c r="B8" s="1141"/>
      <c r="C8" s="826">
        <v>419</v>
      </c>
      <c r="D8" s="625">
        <v>525</v>
      </c>
      <c r="E8" s="625">
        <v>409</v>
      </c>
      <c r="F8" s="625">
        <v>357</v>
      </c>
      <c r="G8" s="480">
        <v>316</v>
      </c>
      <c r="H8" s="480">
        <v>339</v>
      </c>
      <c r="I8" s="480">
        <v>361</v>
      </c>
      <c r="J8" s="480">
        <v>273</v>
      </c>
    </row>
    <row r="9" spans="1:17" ht="11.25" customHeight="1">
      <c r="A9" s="1143" t="s">
        <v>620</v>
      </c>
      <c r="B9" s="1143"/>
      <c r="C9" s="630">
        <v>1874</v>
      </c>
      <c r="D9" s="630">
        <v>1372</v>
      </c>
      <c r="E9" s="630">
        <v>1553</v>
      </c>
      <c r="F9" s="630">
        <v>1507</v>
      </c>
      <c r="G9" s="502">
        <v>1514</v>
      </c>
      <c r="H9" s="502">
        <v>1354</v>
      </c>
      <c r="I9" s="502">
        <v>1363</v>
      </c>
      <c r="J9" s="502">
        <v>1413</v>
      </c>
    </row>
    <row r="10" spans="1:17" ht="11.25" customHeight="1">
      <c r="A10" s="796"/>
      <c r="B10" s="534"/>
      <c r="C10" s="630"/>
      <c r="D10" s="630"/>
      <c r="E10" s="630"/>
      <c r="F10" s="630"/>
      <c r="G10" s="502"/>
      <c r="H10" s="502"/>
      <c r="I10" s="502"/>
      <c r="J10" s="502"/>
    </row>
    <row r="11" spans="1:17" ht="11.25" customHeight="1">
      <c r="A11" s="1143" t="s">
        <v>1208</v>
      </c>
      <c r="B11" s="1143"/>
      <c r="C11" s="630"/>
      <c r="D11" s="630"/>
      <c r="E11" s="630"/>
      <c r="F11" s="630"/>
      <c r="G11" s="502"/>
      <c r="H11" s="502"/>
      <c r="I11" s="502"/>
      <c r="J11" s="502"/>
    </row>
    <row r="12" spans="1:17" ht="11.25" customHeight="1">
      <c r="A12" s="1110" t="s">
        <v>323</v>
      </c>
      <c r="B12" s="1110"/>
      <c r="C12" s="630">
        <v>1878</v>
      </c>
      <c r="D12" s="630">
        <v>1742</v>
      </c>
      <c r="E12" s="630">
        <v>1622</v>
      </c>
      <c r="F12" s="630">
        <v>1401</v>
      </c>
      <c r="G12" s="502">
        <v>1220</v>
      </c>
      <c r="H12" s="502">
        <v>1249</v>
      </c>
      <c r="I12" s="502">
        <v>1239</v>
      </c>
      <c r="J12" s="502">
        <v>1234</v>
      </c>
    </row>
    <row r="13" spans="1:17" ht="11.25" customHeight="1">
      <c r="A13" s="1110" t="s">
        <v>1107</v>
      </c>
      <c r="B13" s="1110"/>
      <c r="C13" s="630">
        <v>1871</v>
      </c>
      <c r="D13" s="630">
        <v>1725</v>
      </c>
      <c r="E13" s="630">
        <v>2013</v>
      </c>
      <c r="F13" s="630">
        <v>2012</v>
      </c>
      <c r="G13" s="502">
        <v>1871</v>
      </c>
      <c r="H13" s="502">
        <v>1839</v>
      </c>
      <c r="I13" s="502">
        <v>1764</v>
      </c>
      <c r="J13" s="502">
        <v>1847</v>
      </c>
    </row>
    <row r="14" spans="1:17" ht="11.25" customHeight="1">
      <c r="A14" s="1141" t="s">
        <v>1106</v>
      </c>
      <c r="B14" s="1141"/>
      <c r="C14" s="826">
        <v>2417</v>
      </c>
      <c r="D14" s="625">
        <v>2451</v>
      </c>
      <c r="E14" s="625">
        <v>2269</v>
      </c>
      <c r="F14" s="625">
        <v>2077</v>
      </c>
      <c r="G14" s="480">
        <v>2009</v>
      </c>
      <c r="H14" s="480">
        <v>2018</v>
      </c>
      <c r="I14" s="480">
        <v>2087</v>
      </c>
      <c r="J14" s="480">
        <v>2033</v>
      </c>
    </row>
    <row r="15" spans="1:17" ht="11.25" customHeight="1">
      <c r="A15" s="1143" t="s">
        <v>620</v>
      </c>
      <c r="B15" s="1143"/>
      <c r="C15" s="630">
        <v>6166</v>
      </c>
      <c r="D15" s="630">
        <v>5918</v>
      </c>
      <c r="E15" s="630">
        <v>5904</v>
      </c>
      <c r="F15" s="630">
        <v>5490</v>
      </c>
      <c r="G15" s="502">
        <v>5100</v>
      </c>
      <c r="H15" s="502">
        <v>5107</v>
      </c>
      <c r="I15" s="502">
        <v>5089</v>
      </c>
      <c r="J15" s="502">
        <v>5114</v>
      </c>
    </row>
    <row r="16" spans="1:17" ht="11.25" customHeight="1">
      <c r="A16" s="796"/>
      <c r="B16" s="533"/>
      <c r="C16" s="630"/>
      <c r="D16" s="630"/>
      <c r="E16" s="630"/>
      <c r="F16" s="630"/>
      <c r="G16" s="502"/>
      <c r="H16" s="502"/>
      <c r="I16" s="502"/>
      <c r="J16" s="502"/>
    </row>
    <row r="17" spans="1:10" ht="11.25" customHeight="1">
      <c r="A17" s="1143" t="s">
        <v>613</v>
      </c>
      <c r="B17" s="1143"/>
      <c r="C17" s="630"/>
      <c r="D17" s="630"/>
      <c r="E17" s="630"/>
      <c r="F17" s="630"/>
      <c r="G17" s="502"/>
      <c r="H17" s="502"/>
      <c r="I17" s="502"/>
      <c r="J17" s="502"/>
    </row>
    <row r="18" spans="1:10" ht="11.25" customHeight="1">
      <c r="A18" s="1110" t="s">
        <v>323</v>
      </c>
      <c r="B18" s="1110"/>
      <c r="C18" s="630">
        <v>737</v>
      </c>
      <c r="D18" s="630">
        <v>572</v>
      </c>
      <c r="E18" s="630">
        <v>582</v>
      </c>
      <c r="F18" s="630">
        <v>535</v>
      </c>
      <c r="G18" s="502">
        <v>710</v>
      </c>
      <c r="H18" s="502">
        <v>569</v>
      </c>
      <c r="I18" s="502">
        <v>594</v>
      </c>
      <c r="J18" s="502">
        <v>534</v>
      </c>
    </row>
    <row r="19" spans="1:10" ht="11.25" customHeight="1">
      <c r="A19" s="1110" t="s">
        <v>1107</v>
      </c>
      <c r="B19" s="1110"/>
      <c r="C19" s="630">
        <v>431</v>
      </c>
      <c r="D19" s="630">
        <v>451</v>
      </c>
      <c r="E19" s="630">
        <v>368</v>
      </c>
      <c r="F19" s="630">
        <v>267</v>
      </c>
      <c r="G19" s="502">
        <v>425</v>
      </c>
      <c r="H19" s="502">
        <v>324</v>
      </c>
      <c r="I19" s="502">
        <v>412</v>
      </c>
      <c r="J19" s="502">
        <v>239</v>
      </c>
    </row>
    <row r="20" spans="1:10" ht="11.25" customHeight="1">
      <c r="A20" s="1142" t="s">
        <v>1106</v>
      </c>
      <c r="B20" s="1142"/>
      <c r="C20" s="826">
        <v>364</v>
      </c>
      <c r="D20" s="625">
        <v>307</v>
      </c>
      <c r="E20" s="625">
        <v>296</v>
      </c>
      <c r="F20" s="625">
        <v>264</v>
      </c>
      <c r="G20" s="480">
        <v>305</v>
      </c>
      <c r="H20" s="480">
        <v>282</v>
      </c>
      <c r="I20" s="480">
        <v>284</v>
      </c>
      <c r="J20" s="480">
        <v>233</v>
      </c>
    </row>
    <row r="21" spans="1:10" ht="11.25" customHeight="1">
      <c r="A21" s="1143" t="s">
        <v>620</v>
      </c>
      <c r="B21" s="1143"/>
      <c r="C21" s="630">
        <v>1532</v>
      </c>
      <c r="D21" s="630">
        <v>1330</v>
      </c>
      <c r="E21" s="630">
        <v>1246</v>
      </c>
      <c r="F21" s="630">
        <v>1066</v>
      </c>
      <c r="G21" s="502">
        <v>1441</v>
      </c>
      <c r="H21" s="502">
        <v>1175</v>
      </c>
      <c r="I21" s="502">
        <v>1290</v>
      </c>
      <c r="J21" s="502">
        <v>1005</v>
      </c>
    </row>
    <row r="22" spans="1:10" ht="11.25" customHeight="1">
      <c r="A22" s="796"/>
      <c r="B22" s="794"/>
      <c r="C22" s="630"/>
      <c r="D22" s="630"/>
      <c r="E22" s="630"/>
      <c r="F22" s="630"/>
      <c r="G22" s="502"/>
      <c r="H22" s="502"/>
      <c r="I22" s="502"/>
      <c r="J22" s="502"/>
    </row>
    <row r="23" spans="1:10" ht="11.25" customHeight="1">
      <c r="A23" s="1125" t="s">
        <v>850</v>
      </c>
      <c r="B23" s="1125"/>
      <c r="C23" s="630">
        <v>3</v>
      </c>
      <c r="D23" s="630">
        <v>3</v>
      </c>
      <c r="E23" s="630">
        <v>4</v>
      </c>
      <c r="F23" s="630">
        <v>3</v>
      </c>
      <c r="G23" s="502">
        <v>6</v>
      </c>
      <c r="H23" s="502">
        <v>3</v>
      </c>
      <c r="I23" s="502">
        <v>3</v>
      </c>
      <c r="J23" s="502">
        <v>1</v>
      </c>
    </row>
    <row r="24" spans="1:10" ht="11.25" customHeight="1">
      <c r="A24" s="796"/>
      <c r="B24" s="795"/>
      <c r="C24" s="630"/>
      <c r="D24" s="630"/>
      <c r="E24" s="630"/>
      <c r="F24" s="630"/>
      <c r="G24" s="502"/>
      <c r="H24" s="502"/>
      <c r="I24" s="502"/>
      <c r="J24" s="502"/>
    </row>
    <row r="25" spans="1:10" ht="11.25" customHeight="1">
      <c r="A25" s="1125" t="s">
        <v>1182</v>
      </c>
      <c r="B25" s="1125"/>
      <c r="C25" s="630">
        <v>237</v>
      </c>
      <c r="D25" s="630">
        <v>152</v>
      </c>
      <c r="E25" s="630">
        <v>134</v>
      </c>
      <c r="F25" s="630">
        <v>98</v>
      </c>
      <c r="G25" s="502">
        <v>250</v>
      </c>
      <c r="H25" s="502">
        <v>141</v>
      </c>
      <c r="I25" s="502">
        <v>130</v>
      </c>
      <c r="J25" s="502">
        <v>90</v>
      </c>
    </row>
    <row r="26" spans="1:10" ht="11.25" customHeight="1">
      <c r="A26" s="1110" t="s">
        <v>566</v>
      </c>
      <c r="B26" s="1110"/>
      <c r="C26" s="699">
        <v>15.4</v>
      </c>
      <c r="D26" s="691">
        <v>11.5</v>
      </c>
      <c r="E26" s="691">
        <v>10.7</v>
      </c>
      <c r="F26" s="691">
        <v>9.1999999999999993</v>
      </c>
      <c r="G26" s="521">
        <v>17.399999999999999</v>
      </c>
      <c r="H26" s="521">
        <v>12</v>
      </c>
      <c r="I26" s="521">
        <v>10.1</v>
      </c>
      <c r="J26" s="521">
        <v>9</v>
      </c>
    </row>
    <row r="27" spans="1:10" ht="11.25" customHeight="1">
      <c r="A27" s="796"/>
      <c r="B27" s="794"/>
      <c r="C27" s="630"/>
      <c r="D27" s="630"/>
      <c r="E27" s="630"/>
      <c r="F27" s="630"/>
      <c r="G27" s="502"/>
      <c r="H27" s="502"/>
      <c r="I27" s="502"/>
      <c r="J27" s="502"/>
    </row>
    <row r="28" spans="1:10" ht="11.25" customHeight="1">
      <c r="A28" s="1125" t="s">
        <v>623</v>
      </c>
      <c r="B28" s="1125"/>
      <c r="C28" s="630">
        <v>-37</v>
      </c>
      <c r="D28" s="630">
        <v>-31</v>
      </c>
      <c r="E28" s="630">
        <v>-31</v>
      </c>
      <c r="F28" s="630">
        <v>-30</v>
      </c>
      <c r="G28" s="502">
        <v>-42</v>
      </c>
      <c r="H28" s="502">
        <v>-30</v>
      </c>
      <c r="I28" s="502">
        <v>-30</v>
      </c>
      <c r="J28" s="502">
        <v>-33</v>
      </c>
    </row>
    <row r="29" spans="1:10" ht="11.25" customHeight="1">
      <c r="A29" s="1110" t="s">
        <v>1209</v>
      </c>
      <c r="B29" s="1110"/>
      <c r="C29" s="630">
        <v>-11</v>
      </c>
      <c r="D29" s="630">
        <v>-11</v>
      </c>
      <c r="E29" s="630">
        <v>-11</v>
      </c>
      <c r="F29" s="630">
        <v>-10</v>
      </c>
      <c r="G29" s="502">
        <v>-10</v>
      </c>
      <c r="H29" s="502">
        <v>-9</v>
      </c>
      <c r="I29" s="502">
        <v>-9</v>
      </c>
      <c r="J29" s="502">
        <v>-9</v>
      </c>
    </row>
    <row r="30" spans="1:10" ht="11.25" customHeight="1">
      <c r="A30" s="796"/>
      <c r="B30" s="794"/>
      <c r="C30" s="639"/>
      <c r="D30" s="630"/>
      <c r="E30" s="630"/>
      <c r="F30" s="630"/>
      <c r="G30" s="502"/>
      <c r="H30" s="502"/>
      <c r="I30" s="502"/>
      <c r="J30" s="502"/>
    </row>
    <row r="31" spans="1:10" ht="11.25" customHeight="1">
      <c r="A31" s="1125" t="s">
        <v>1183</v>
      </c>
      <c r="B31" s="1125"/>
      <c r="C31" s="630">
        <v>226</v>
      </c>
      <c r="D31" s="630">
        <v>141</v>
      </c>
      <c r="E31" s="630">
        <v>123</v>
      </c>
      <c r="F31" s="630">
        <v>88</v>
      </c>
      <c r="G31" s="502">
        <v>241</v>
      </c>
      <c r="H31" s="502">
        <v>131</v>
      </c>
      <c r="I31" s="502">
        <v>122</v>
      </c>
      <c r="J31" s="502">
        <v>82</v>
      </c>
    </row>
    <row r="32" spans="1:10" ht="11.25" customHeight="1">
      <c r="A32" s="1110" t="s">
        <v>566</v>
      </c>
      <c r="B32" s="1110"/>
      <c r="C32" s="699">
        <v>14.7</v>
      </c>
      <c r="D32" s="699">
        <v>10.6</v>
      </c>
      <c r="E32" s="699">
        <v>9.8000000000000007</v>
      </c>
      <c r="F32" s="699">
        <v>8.3000000000000007</v>
      </c>
      <c r="G32" s="600">
        <v>16.7</v>
      </c>
      <c r="H32" s="600">
        <v>11.2</v>
      </c>
      <c r="I32" s="600">
        <v>9.5</v>
      </c>
      <c r="J32" s="600">
        <v>8.1</v>
      </c>
    </row>
    <row r="33" spans="1:10" ht="11.25" customHeight="1">
      <c r="A33" s="796"/>
      <c r="B33" s="794"/>
      <c r="C33" s="676"/>
      <c r="D33" s="630"/>
      <c r="E33" s="630"/>
      <c r="F33" s="630"/>
      <c r="G33" s="502"/>
      <c r="H33" s="502"/>
      <c r="I33" s="502"/>
      <c r="J33" s="502"/>
    </row>
    <row r="34" spans="1:10" ht="11.25" customHeight="1">
      <c r="A34" s="1125" t="s">
        <v>1210</v>
      </c>
      <c r="B34" s="1125"/>
      <c r="C34" s="827">
        <v>-20</v>
      </c>
      <c r="D34" s="630"/>
      <c r="E34" s="630">
        <v>-12</v>
      </c>
      <c r="F34" s="630">
        <v>-3</v>
      </c>
      <c r="G34" s="502">
        <v>-19</v>
      </c>
      <c r="H34" s="502">
        <v>-4</v>
      </c>
      <c r="I34" s="502">
        <v>-8</v>
      </c>
      <c r="J34" s="502">
        <v>-6</v>
      </c>
    </row>
    <row r="35" spans="1:10">
      <c r="A35" s="796"/>
      <c r="B35" s="789"/>
      <c r="C35" s="828"/>
      <c r="D35" s="630"/>
      <c r="E35" s="630"/>
      <c r="F35" s="630"/>
      <c r="G35" s="502"/>
      <c r="H35" s="502"/>
      <c r="I35" s="502"/>
      <c r="J35" s="502"/>
    </row>
    <row r="36" spans="1:10">
      <c r="A36" s="1125" t="s">
        <v>845</v>
      </c>
      <c r="B36" s="1125"/>
      <c r="C36" s="630">
        <v>206</v>
      </c>
      <c r="D36" s="630">
        <v>141</v>
      </c>
      <c r="E36" s="630">
        <v>111</v>
      </c>
      <c r="F36" s="630">
        <v>85</v>
      </c>
      <c r="G36" s="502">
        <v>222</v>
      </c>
      <c r="H36" s="502">
        <v>127</v>
      </c>
      <c r="I36" s="502">
        <v>114</v>
      </c>
      <c r="J36" s="502">
        <v>76</v>
      </c>
    </row>
    <row r="37" spans="1:10">
      <c r="A37" s="1110" t="s">
        <v>566</v>
      </c>
      <c r="B37" s="1110"/>
      <c r="C37" s="699">
        <v>13.4</v>
      </c>
      <c r="D37" s="699">
        <v>10.6</v>
      </c>
      <c r="E37" s="699">
        <v>8.9</v>
      </c>
      <c r="F37" s="699">
        <v>8</v>
      </c>
      <c r="G37" s="600">
        <v>15.4</v>
      </c>
      <c r="H37" s="600">
        <v>10.8</v>
      </c>
      <c r="I37" s="600">
        <v>8.8000000000000007</v>
      </c>
      <c r="J37" s="600">
        <v>7.5</v>
      </c>
    </row>
    <row r="38" spans="1:10">
      <c r="A38" s="796"/>
      <c r="B38" s="789"/>
      <c r="C38" s="829"/>
      <c r="D38" s="630"/>
      <c r="E38" s="630"/>
      <c r="F38" s="630"/>
      <c r="G38" s="502"/>
      <c r="H38" s="502"/>
      <c r="I38" s="502"/>
      <c r="J38" s="502"/>
    </row>
    <row r="39" spans="1:10">
      <c r="A39" s="1125" t="s">
        <v>615</v>
      </c>
      <c r="B39" s="1125"/>
      <c r="C39" s="630">
        <v>-12</v>
      </c>
      <c r="D39" s="630">
        <v>-11</v>
      </c>
      <c r="E39" s="630">
        <v>-8</v>
      </c>
      <c r="F39" s="630">
        <v>-9</v>
      </c>
      <c r="G39" s="502">
        <v>-10</v>
      </c>
      <c r="H39" s="502">
        <v>-17</v>
      </c>
      <c r="I39" s="502">
        <v>-14</v>
      </c>
      <c r="J39" s="502">
        <v>-5</v>
      </c>
    </row>
    <row r="40" spans="1:10">
      <c r="A40" s="1125" t="s">
        <v>622</v>
      </c>
      <c r="B40" s="1125"/>
      <c r="C40" s="827">
        <v>194</v>
      </c>
      <c r="D40" s="630">
        <v>130</v>
      </c>
      <c r="E40" s="630">
        <v>102</v>
      </c>
      <c r="F40" s="630">
        <v>76</v>
      </c>
      <c r="G40" s="502">
        <v>211</v>
      </c>
      <c r="H40" s="502">
        <v>110</v>
      </c>
      <c r="I40" s="502">
        <v>99</v>
      </c>
      <c r="J40" s="502">
        <v>70</v>
      </c>
    </row>
    <row r="41" spans="1:10">
      <c r="A41" s="1125" t="s">
        <v>457</v>
      </c>
      <c r="B41" s="1125"/>
      <c r="C41" s="827">
        <v>-41</v>
      </c>
      <c r="D41" s="630">
        <v>-29</v>
      </c>
      <c r="E41" s="630">
        <v>-28</v>
      </c>
      <c r="F41" s="630">
        <v>-19</v>
      </c>
      <c r="G41" s="502">
        <v>-47</v>
      </c>
      <c r="H41" s="502">
        <v>-28</v>
      </c>
      <c r="I41" s="502">
        <v>-26</v>
      </c>
      <c r="J41" s="502">
        <v>-16</v>
      </c>
    </row>
    <row r="42" spans="1:10" ht="10.199999999999999" customHeight="1">
      <c r="A42" s="796"/>
      <c r="B42" s="795"/>
      <c r="C42" s="828"/>
      <c r="D42" s="630"/>
      <c r="E42" s="630"/>
      <c r="F42" s="630"/>
      <c r="G42" s="502"/>
      <c r="H42" s="502"/>
      <c r="I42" s="502"/>
      <c r="J42" s="502"/>
    </row>
    <row r="43" spans="1:10">
      <c r="A43" s="1125" t="s">
        <v>617</v>
      </c>
      <c r="B43" s="1125"/>
      <c r="C43" s="827">
        <v>153</v>
      </c>
      <c r="D43" s="630">
        <v>101</v>
      </c>
      <c r="E43" s="630">
        <v>75</v>
      </c>
      <c r="F43" s="630">
        <v>57</v>
      </c>
      <c r="G43" s="502">
        <v>165</v>
      </c>
      <c r="H43" s="502">
        <v>82</v>
      </c>
      <c r="I43" s="502">
        <v>73</v>
      </c>
      <c r="J43" s="502">
        <v>54</v>
      </c>
    </row>
    <row r="44" spans="1:10">
      <c r="A44" s="796"/>
      <c r="B44" s="789"/>
      <c r="C44" s="630"/>
      <c r="D44" s="630"/>
      <c r="E44" s="630"/>
      <c r="F44" s="630"/>
      <c r="G44" s="502"/>
      <c r="H44" s="502"/>
      <c r="I44" s="502"/>
      <c r="J44" s="502"/>
    </row>
    <row r="45" spans="1:10">
      <c r="A45" s="1125" t="s">
        <v>1190</v>
      </c>
      <c r="B45" s="1125"/>
      <c r="C45" s="829">
        <v>0.25</v>
      </c>
      <c r="D45" s="676">
        <v>0.17</v>
      </c>
      <c r="E45" s="676">
        <v>0.13</v>
      </c>
      <c r="F45" s="676">
        <v>0.1</v>
      </c>
      <c r="G45" s="557">
        <v>0.28000000000000003</v>
      </c>
      <c r="H45" s="557">
        <v>0.14000000000000001</v>
      </c>
      <c r="I45" s="557">
        <v>0.12</v>
      </c>
      <c r="J45" s="557">
        <v>0.09</v>
      </c>
    </row>
    <row r="46" spans="1:10">
      <c r="A46" s="796"/>
      <c r="B46" s="789"/>
      <c r="C46" s="828"/>
      <c r="D46" s="630"/>
      <c r="E46" s="630"/>
      <c r="F46" s="630"/>
      <c r="G46" s="502"/>
      <c r="H46" s="502"/>
      <c r="I46" s="502"/>
      <c r="J46" s="502"/>
    </row>
    <row r="47" spans="1:10">
      <c r="A47" s="1125" t="s">
        <v>567</v>
      </c>
      <c r="B47" s="1125"/>
      <c r="C47" s="827">
        <v>48</v>
      </c>
      <c r="D47" s="630">
        <v>26</v>
      </c>
      <c r="E47" s="630">
        <v>194</v>
      </c>
      <c r="F47" s="630">
        <v>37</v>
      </c>
      <c r="G47" s="502">
        <v>79</v>
      </c>
      <c r="H47" s="502">
        <v>156</v>
      </c>
      <c r="I47" s="502">
        <v>11</v>
      </c>
      <c r="J47" s="502">
        <v>9</v>
      </c>
    </row>
    <row r="48" spans="1:10">
      <c r="A48" s="1110" t="s">
        <v>1211</v>
      </c>
      <c r="B48" s="1110"/>
      <c r="C48" s="827">
        <v>-1</v>
      </c>
      <c r="D48" s="630"/>
      <c r="E48" s="630">
        <v>177</v>
      </c>
      <c r="F48" s="630">
        <v>20</v>
      </c>
      <c r="G48" s="502">
        <v>45</v>
      </c>
      <c r="H48" s="502">
        <v>145</v>
      </c>
      <c r="I48" s="502"/>
      <c r="J48" s="502">
        <v>1</v>
      </c>
    </row>
    <row r="49" spans="1:10">
      <c r="A49" s="796"/>
      <c r="B49" s="789"/>
      <c r="C49" s="828"/>
      <c r="D49" s="630"/>
      <c r="E49" s="630"/>
      <c r="F49" s="630"/>
      <c r="G49" s="502"/>
      <c r="H49" s="502"/>
      <c r="I49" s="502"/>
      <c r="J49" s="502"/>
    </row>
    <row r="50" spans="1:10">
      <c r="A50" s="1125" t="s">
        <v>585</v>
      </c>
      <c r="B50" s="1125"/>
      <c r="C50" s="827">
        <v>349</v>
      </c>
      <c r="D50" s="630">
        <v>122</v>
      </c>
      <c r="E50" s="630">
        <v>41</v>
      </c>
      <c r="F50" s="630">
        <v>-42</v>
      </c>
      <c r="G50" s="502">
        <v>276</v>
      </c>
      <c r="H50" s="502">
        <v>150</v>
      </c>
      <c r="I50" s="502">
        <v>2</v>
      </c>
      <c r="J50" s="502">
        <v>2</v>
      </c>
    </row>
    <row r="51" spans="1:10">
      <c r="A51" s="796"/>
      <c r="B51" s="789"/>
      <c r="C51" s="828"/>
      <c r="D51" s="630"/>
      <c r="E51" s="630"/>
      <c r="F51" s="630"/>
      <c r="G51" s="502"/>
      <c r="H51" s="502"/>
      <c r="I51" s="502"/>
      <c r="J51" s="502"/>
    </row>
    <row r="52" spans="1:10">
      <c r="A52" s="1125" t="s">
        <v>1214</v>
      </c>
      <c r="B52" s="1125"/>
      <c r="C52" s="827">
        <v>581</v>
      </c>
      <c r="D52" s="630">
        <v>782</v>
      </c>
      <c r="E52" s="630">
        <v>790</v>
      </c>
      <c r="F52" s="630">
        <v>726</v>
      </c>
      <c r="G52" s="502">
        <v>563</v>
      </c>
      <c r="H52" s="502">
        <v>632</v>
      </c>
      <c r="I52" s="502">
        <v>658</v>
      </c>
      <c r="J52" s="502">
        <v>561</v>
      </c>
    </row>
    <row r="53" spans="1:10">
      <c r="A53" s="796"/>
      <c r="B53" s="789"/>
      <c r="C53" s="828"/>
      <c r="D53" s="630"/>
      <c r="E53" s="630"/>
      <c r="F53" s="630"/>
      <c r="G53" s="502"/>
      <c r="H53" s="502"/>
      <c r="I53" s="502"/>
      <c r="J53" s="502"/>
    </row>
    <row r="54" spans="1:10">
      <c r="A54" s="1143" t="s">
        <v>1116</v>
      </c>
      <c r="B54" s="1143"/>
      <c r="C54" s="827"/>
      <c r="D54" s="630"/>
      <c r="E54" s="630"/>
      <c r="F54" s="630"/>
      <c r="G54" s="502"/>
      <c r="H54" s="502"/>
      <c r="I54" s="502"/>
      <c r="J54" s="502"/>
    </row>
    <row r="55" spans="1:10">
      <c r="A55" s="1110" t="s">
        <v>323</v>
      </c>
      <c r="B55" s="1110"/>
      <c r="C55" s="827">
        <v>11322</v>
      </c>
      <c r="D55" s="630">
        <v>11426</v>
      </c>
      <c r="E55" s="630">
        <v>11345</v>
      </c>
      <c r="F55" s="630">
        <v>11328</v>
      </c>
      <c r="G55" s="502">
        <v>11234</v>
      </c>
      <c r="H55" s="502">
        <v>11135</v>
      </c>
      <c r="I55" s="502">
        <v>11059</v>
      </c>
      <c r="J55" s="502">
        <v>11067</v>
      </c>
    </row>
    <row r="56" spans="1:10">
      <c r="A56" s="1110" t="s">
        <v>1107</v>
      </c>
      <c r="B56" s="1110"/>
      <c r="C56" s="827">
        <v>1171</v>
      </c>
      <c r="D56" s="630">
        <v>1165</v>
      </c>
      <c r="E56" s="630">
        <v>1135</v>
      </c>
      <c r="F56" s="630">
        <v>1084</v>
      </c>
      <c r="G56" s="502">
        <v>1038</v>
      </c>
      <c r="H56" s="502">
        <v>1017</v>
      </c>
      <c r="I56" s="502">
        <v>928</v>
      </c>
      <c r="J56" s="502">
        <v>913</v>
      </c>
    </row>
    <row r="57" spans="1:10">
      <c r="A57" s="1110" t="s">
        <v>1106</v>
      </c>
      <c r="B57" s="1110"/>
      <c r="C57" s="827">
        <v>5995</v>
      </c>
      <c r="D57" s="630">
        <v>6195</v>
      </c>
      <c r="E57" s="630">
        <v>6151</v>
      </c>
      <c r="F57" s="630">
        <v>5197</v>
      </c>
      <c r="G57" s="502">
        <v>5235</v>
      </c>
      <c r="H57" s="502">
        <v>5167</v>
      </c>
      <c r="I57" s="502">
        <v>5257</v>
      </c>
      <c r="J57" s="502">
        <v>5317</v>
      </c>
    </row>
    <row r="58" spans="1:10">
      <c r="A58" s="1147" t="s">
        <v>654</v>
      </c>
      <c r="B58" s="1147"/>
      <c r="C58" s="830">
        <v>805</v>
      </c>
      <c r="D58" s="625">
        <v>634</v>
      </c>
      <c r="E58" s="625">
        <v>601</v>
      </c>
      <c r="F58" s="625">
        <v>573</v>
      </c>
      <c r="G58" s="480">
        <v>559</v>
      </c>
      <c r="H58" s="480">
        <v>540</v>
      </c>
      <c r="I58" s="480">
        <v>539</v>
      </c>
      <c r="J58" s="480">
        <v>533</v>
      </c>
    </row>
    <row r="59" spans="1:10">
      <c r="A59" s="1143" t="s">
        <v>620</v>
      </c>
      <c r="B59" s="1143"/>
      <c r="C59" s="827">
        <v>19294</v>
      </c>
      <c r="D59" s="630">
        <v>19420</v>
      </c>
      <c r="E59" s="630">
        <v>19231</v>
      </c>
      <c r="F59" s="630">
        <v>18182</v>
      </c>
      <c r="G59" s="502">
        <v>18065</v>
      </c>
      <c r="H59" s="502">
        <v>17859</v>
      </c>
      <c r="I59" s="502">
        <v>17783</v>
      </c>
      <c r="J59" s="502">
        <v>17832</v>
      </c>
    </row>
    <row r="61" spans="1:10">
      <c r="A61" s="1140" t="s">
        <v>1404</v>
      </c>
      <c r="B61" s="1140"/>
      <c r="C61" s="1140" t="s">
        <v>1403</v>
      </c>
      <c r="D61" s="1140"/>
      <c r="E61" s="1140">
        <v>0</v>
      </c>
      <c r="F61" s="1140"/>
      <c r="G61" s="1140">
        <v>0</v>
      </c>
      <c r="H61" s="1140"/>
      <c r="I61" s="1140">
        <v>0</v>
      </c>
      <c r="J61" s="1140"/>
    </row>
    <row r="63" spans="1:10">
      <c r="A63" s="1140" t="s">
        <v>1473</v>
      </c>
      <c r="B63" s="1140"/>
      <c r="C63" s="1140" t="s">
        <v>1474</v>
      </c>
      <c r="D63" s="1140"/>
      <c r="E63" s="1140">
        <v>0</v>
      </c>
      <c r="F63" s="1140"/>
      <c r="G63" s="1140">
        <v>0</v>
      </c>
      <c r="H63" s="1140"/>
      <c r="I63" s="1140">
        <v>0</v>
      </c>
      <c r="J63" s="1140"/>
    </row>
  </sheetData>
  <mergeCells count="44">
    <mergeCell ref="A54:B54"/>
    <mergeCell ref="A59:B59"/>
    <mergeCell ref="A43:B43"/>
    <mergeCell ref="A45:B45"/>
    <mergeCell ref="A47:B47"/>
    <mergeCell ref="A50:B50"/>
    <mergeCell ref="A56:B56"/>
    <mergeCell ref="A57:B57"/>
    <mergeCell ref="A58:B58"/>
    <mergeCell ref="A55:B55"/>
    <mergeCell ref="A1:J1"/>
    <mergeCell ref="A4:B4"/>
    <mergeCell ref="A5:B5"/>
    <mergeCell ref="A9:B9"/>
    <mergeCell ref="A11:B11"/>
    <mergeCell ref="A15:B15"/>
    <mergeCell ref="A17:B17"/>
    <mergeCell ref="A21:B21"/>
    <mergeCell ref="A23:B23"/>
    <mergeCell ref="A52:B52"/>
    <mergeCell ref="A25:B25"/>
    <mergeCell ref="A36:B36"/>
    <mergeCell ref="A39:B39"/>
    <mergeCell ref="A40:B40"/>
    <mergeCell ref="A41:B41"/>
    <mergeCell ref="A28:B28"/>
    <mergeCell ref="A31:B31"/>
    <mergeCell ref="A34:B34"/>
    <mergeCell ref="A63:J63"/>
    <mergeCell ref="A61:J61"/>
    <mergeCell ref="A6:B6"/>
    <mergeCell ref="A7:B7"/>
    <mergeCell ref="A8:B8"/>
    <mergeCell ref="A12:B12"/>
    <mergeCell ref="A13:B13"/>
    <mergeCell ref="A14:B14"/>
    <mergeCell ref="A18:B18"/>
    <mergeCell ref="A19:B19"/>
    <mergeCell ref="A20:B20"/>
    <mergeCell ref="A26:B26"/>
    <mergeCell ref="A29:B29"/>
    <mergeCell ref="A32:B32"/>
    <mergeCell ref="A37:B37"/>
    <mergeCell ref="A48:B48"/>
  </mergeCells>
  <phoneticPr fontId="1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6D004-D99D-4DD4-AB27-CA990864B42C}">
  <sheetPr codeName="Sheet39"/>
  <dimension ref="A1:Q34"/>
  <sheetViews>
    <sheetView zoomScaleNormal="100" workbookViewId="0">
      <selection sqref="A1:G1"/>
    </sheetView>
  </sheetViews>
  <sheetFormatPr defaultColWidth="8.7109375" defaultRowHeight="10.199999999999999"/>
  <cols>
    <col min="1" max="1" width="52" style="988" customWidth="1"/>
    <col min="2" max="7" width="13" style="232" customWidth="1"/>
    <col min="8" max="17" width="3.7109375" style="996" customWidth="1"/>
    <col min="18" max="16384" width="8.7109375" style="1079"/>
  </cols>
  <sheetData>
    <row r="1" spans="1:17" ht="15.75" customHeight="1">
      <c r="A1" s="1253" t="s">
        <v>1424</v>
      </c>
      <c r="B1" s="1254"/>
      <c r="C1" s="1254"/>
      <c r="D1" s="1254"/>
      <c r="E1" s="1254"/>
      <c r="F1" s="1254"/>
      <c r="G1" s="1254"/>
    </row>
    <row r="2" spans="1:17" ht="11.25" customHeight="1">
      <c r="A2" s="1023"/>
      <c r="B2" s="345"/>
      <c r="C2" s="345"/>
      <c r="D2" s="345"/>
      <c r="E2" s="345"/>
      <c r="F2" s="345"/>
      <c r="G2" s="345"/>
    </row>
    <row r="3" spans="1:17" ht="11.25" customHeight="1">
      <c r="A3" s="1189" t="s">
        <v>1047</v>
      </c>
      <c r="B3" s="1189"/>
      <c r="C3" s="1189"/>
      <c r="D3" s="1189"/>
      <c r="E3" s="1189"/>
      <c r="F3" s="1189"/>
      <c r="G3" s="1189"/>
      <c r="H3" s="1016"/>
      <c r="I3" s="1016"/>
      <c r="J3" s="1016"/>
      <c r="K3" s="1016"/>
      <c r="L3" s="1016"/>
      <c r="M3" s="1016"/>
      <c r="N3" s="1016"/>
      <c r="O3" s="1016"/>
      <c r="P3" s="1016"/>
      <c r="Q3" s="1016"/>
    </row>
    <row r="4" spans="1:17" ht="11.25" customHeight="1">
      <c r="A4" s="1023"/>
      <c r="B4" s="345"/>
      <c r="C4" s="345"/>
      <c r="D4" s="345"/>
      <c r="E4" s="345"/>
      <c r="F4" s="345"/>
      <c r="G4" s="345"/>
      <c r="H4" s="1016"/>
      <c r="I4" s="1016"/>
      <c r="J4" s="1016"/>
      <c r="K4" s="1016"/>
      <c r="L4" s="1016"/>
      <c r="M4" s="1016"/>
      <c r="N4" s="1016"/>
      <c r="O4" s="1016"/>
      <c r="P4" s="1016"/>
      <c r="Q4" s="1016"/>
    </row>
    <row r="5" spans="1:17" ht="11.25" customHeight="1">
      <c r="A5" s="991" t="s">
        <v>740</v>
      </c>
      <c r="B5" s="309"/>
      <c r="C5" s="391"/>
      <c r="D5" s="391"/>
      <c r="E5" s="391"/>
      <c r="F5" s="683">
        <v>2018</v>
      </c>
      <c r="G5" s="309">
        <v>2017</v>
      </c>
    </row>
    <row r="6" spans="1:17" ht="11.25" customHeight="1">
      <c r="A6" s="1021" t="s">
        <v>307</v>
      </c>
      <c r="B6" s="564"/>
      <c r="C6" s="564"/>
      <c r="D6" s="564"/>
      <c r="E6" s="564"/>
      <c r="F6" s="630">
        <v>748</v>
      </c>
      <c r="G6" s="502">
        <v>517</v>
      </c>
    </row>
    <row r="7" spans="1:17" ht="11.25" customHeight="1">
      <c r="A7" s="1020" t="s">
        <v>308</v>
      </c>
      <c r="B7" s="582"/>
      <c r="C7" s="582"/>
      <c r="D7" s="582"/>
      <c r="E7" s="582"/>
      <c r="F7" s="625">
        <v>74</v>
      </c>
      <c r="G7" s="480">
        <v>102</v>
      </c>
      <c r="H7" s="1016"/>
      <c r="I7" s="1016"/>
      <c r="J7" s="1016"/>
      <c r="K7" s="1016"/>
      <c r="L7" s="1016"/>
      <c r="M7" s="1016"/>
      <c r="N7" s="1016"/>
      <c r="O7" s="1016"/>
      <c r="P7" s="1016"/>
      <c r="Q7" s="1016"/>
    </row>
    <row r="8" spans="1:17" ht="11.25" customHeight="1">
      <c r="A8" s="1019" t="s">
        <v>1513</v>
      </c>
      <c r="B8" s="564"/>
      <c r="C8" s="564"/>
      <c r="D8" s="564"/>
      <c r="E8" s="564"/>
      <c r="F8" s="630">
        <v>823</v>
      </c>
      <c r="G8" s="502">
        <v>619</v>
      </c>
      <c r="H8" s="1016"/>
      <c r="I8" s="1016"/>
      <c r="J8" s="1016"/>
      <c r="K8" s="1016"/>
      <c r="L8" s="1016"/>
      <c r="M8" s="1016"/>
      <c r="N8" s="1016"/>
      <c r="O8" s="1016"/>
      <c r="P8" s="1016"/>
      <c r="Q8" s="1016"/>
    </row>
    <row r="9" spans="1:17" ht="11.25" customHeight="1">
      <c r="A9" s="1015"/>
      <c r="B9" s="564"/>
      <c r="C9" s="564"/>
      <c r="D9" s="564"/>
      <c r="E9" s="564"/>
      <c r="F9" s="630"/>
      <c r="G9" s="502"/>
      <c r="H9" s="1016"/>
      <c r="I9" s="1016"/>
      <c r="J9" s="1016"/>
      <c r="K9" s="1016"/>
      <c r="L9" s="1016"/>
      <c r="M9" s="1016"/>
      <c r="N9" s="1016"/>
      <c r="O9" s="1016"/>
      <c r="P9" s="1016"/>
      <c r="Q9" s="1016"/>
    </row>
    <row r="10" spans="1:17" ht="11.25" customHeight="1">
      <c r="A10" s="1021" t="s">
        <v>609</v>
      </c>
      <c r="B10" s="564"/>
      <c r="C10" s="564"/>
      <c r="D10" s="564"/>
      <c r="E10" s="564"/>
      <c r="F10" s="630">
        <v>-3</v>
      </c>
      <c r="G10" s="502">
        <v>-5</v>
      </c>
      <c r="H10" s="1016"/>
      <c r="I10" s="1016"/>
      <c r="J10" s="1016"/>
      <c r="K10" s="1016"/>
      <c r="L10" s="1016"/>
      <c r="M10" s="1016"/>
      <c r="N10" s="1016"/>
      <c r="O10" s="1016"/>
      <c r="P10" s="1016"/>
      <c r="Q10" s="1016"/>
    </row>
    <row r="11" spans="1:17" ht="11.25" customHeight="1">
      <c r="A11" s="1020" t="s">
        <v>550</v>
      </c>
      <c r="B11" s="582"/>
      <c r="C11" s="582"/>
      <c r="D11" s="582"/>
      <c r="E11" s="582"/>
      <c r="F11" s="625">
        <v>-487</v>
      </c>
      <c r="G11" s="480">
        <v>-379</v>
      </c>
      <c r="H11" s="1016"/>
      <c r="I11" s="1016"/>
      <c r="J11" s="1016"/>
      <c r="K11" s="1016"/>
      <c r="L11" s="1016"/>
      <c r="M11" s="1016"/>
      <c r="N11" s="1016"/>
      <c r="O11" s="1016"/>
      <c r="P11" s="1016"/>
      <c r="Q11" s="1016"/>
    </row>
    <row r="12" spans="1:17" ht="11.25" customHeight="1">
      <c r="A12" s="1019" t="s">
        <v>1514</v>
      </c>
      <c r="B12" s="564"/>
      <c r="C12" s="564"/>
      <c r="D12" s="564"/>
      <c r="E12" s="564"/>
      <c r="F12" s="630">
        <v>-490</v>
      </c>
      <c r="G12" s="502">
        <v>-385</v>
      </c>
      <c r="H12" s="1016"/>
      <c r="I12" s="1016"/>
      <c r="J12" s="1016"/>
      <c r="K12" s="1016"/>
      <c r="L12" s="1016"/>
      <c r="M12" s="1016"/>
      <c r="N12" s="1016"/>
      <c r="O12" s="1016"/>
      <c r="P12" s="1016"/>
      <c r="Q12" s="1016"/>
    </row>
    <row r="13" spans="1:17" ht="11.25" customHeight="1">
      <c r="A13" s="979"/>
      <c r="B13" s="582"/>
      <c r="C13" s="582"/>
      <c r="D13" s="582"/>
      <c r="E13" s="582"/>
      <c r="F13" s="625"/>
      <c r="G13" s="480"/>
    </row>
    <row r="14" spans="1:17" ht="11.25" customHeight="1">
      <c r="A14" s="1045" t="s">
        <v>1517</v>
      </c>
      <c r="B14" s="531"/>
      <c r="C14" s="531"/>
      <c r="D14" s="531"/>
      <c r="E14" s="531"/>
      <c r="F14" s="626">
        <v>333</v>
      </c>
      <c r="G14" s="526">
        <v>234</v>
      </c>
    </row>
    <row r="15" spans="1:17">
      <c r="A15" s="1022"/>
      <c r="B15" s="221"/>
      <c r="C15" s="221"/>
      <c r="D15" s="221"/>
      <c r="E15" s="221"/>
      <c r="F15" s="221"/>
      <c r="G15" s="221"/>
    </row>
    <row r="16" spans="1:17">
      <c r="A16" s="1022"/>
      <c r="B16" s="221"/>
      <c r="C16" s="221"/>
      <c r="D16" s="221"/>
      <c r="E16" s="221"/>
      <c r="F16" s="221"/>
      <c r="G16" s="221"/>
      <c r="H16" s="1016"/>
      <c r="I16" s="1016"/>
      <c r="J16" s="1016"/>
      <c r="K16" s="1016"/>
      <c r="L16" s="1016"/>
      <c r="M16" s="1016"/>
      <c r="N16" s="1016"/>
      <c r="O16" s="1016"/>
      <c r="P16" s="1016"/>
      <c r="Q16" s="1016"/>
    </row>
    <row r="17" spans="1:7">
      <c r="A17" s="1194" t="s">
        <v>1512</v>
      </c>
      <c r="B17" s="1194"/>
      <c r="C17" s="1194"/>
      <c r="D17" s="1194"/>
      <c r="E17" s="1194"/>
      <c r="F17" s="1194"/>
      <c r="G17" s="1194"/>
    </row>
    <row r="18" spans="1:7">
      <c r="A18" s="1022"/>
      <c r="B18" s="221"/>
      <c r="C18" s="221"/>
      <c r="D18" s="221"/>
      <c r="E18" s="221"/>
      <c r="F18" s="221"/>
      <c r="G18" s="221"/>
    </row>
    <row r="19" spans="1:7" ht="50.25" customHeight="1">
      <c r="A19" s="1018" t="s">
        <v>740</v>
      </c>
      <c r="B19" s="568"/>
      <c r="C19" s="673" t="s">
        <v>1628</v>
      </c>
      <c r="D19" s="673" t="s">
        <v>1627</v>
      </c>
      <c r="E19" s="673" t="s">
        <v>1632</v>
      </c>
      <c r="F19" s="673" t="s">
        <v>1633</v>
      </c>
      <c r="G19" s="673" t="s">
        <v>1629</v>
      </c>
    </row>
    <row r="20" spans="1:7">
      <c r="A20" s="1021" t="s">
        <v>307</v>
      </c>
      <c r="B20" s="564"/>
      <c r="C20" s="630">
        <v>517</v>
      </c>
      <c r="D20" s="630">
        <v>231</v>
      </c>
      <c r="E20" s="630">
        <v>-1</v>
      </c>
      <c r="F20" s="630"/>
      <c r="G20" s="630">
        <v>748</v>
      </c>
    </row>
    <row r="21" spans="1:7">
      <c r="A21" s="1021" t="s">
        <v>308</v>
      </c>
      <c r="B21" s="564"/>
      <c r="C21" s="630">
        <v>102</v>
      </c>
      <c r="D21" s="630">
        <v>-40</v>
      </c>
      <c r="E21" s="630">
        <v>-6</v>
      </c>
      <c r="F21" s="630">
        <v>18</v>
      </c>
      <c r="G21" s="630">
        <v>74</v>
      </c>
    </row>
    <row r="22" spans="1:7">
      <c r="A22" s="1021" t="s">
        <v>609</v>
      </c>
      <c r="B22" s="564"/>
      <c r="C22" s="630">
        <v>-5</v>
      </c>
      <c r="D22" s="630">
        <v>-2</v>
      </c>
      <c r="E22" s="630"/>
      <c r="F22" s="630">
        <v>6</v>
      </c>
      <c r="G22" s="630">
        <v>-3</v>
      </c>
    </row>
    <row r="23" spans="1:7">
      <c r="A23" s="1020" t="s">
        <v>550</v>
      </c>
      <c r="B23" s="582"/>
      <c r="C23" s="625">
        <v>-379</v>
      </c>
      <c r="D23" s="625">
        <v>-101</v>
      </c>
      <c r="E23" s="625">
        <v>4</v>
      </c>
      <c r="F23" s="625">
        <v>-11</v>
      </c>
      <c r="G23" s="625">
        <v>-487</v>
      </c>
    </row>
    <row r="24" spans="1:7" ht="11.25" customHeight="1">
      <c r="A24" s="1045" t="s">
        <v>1515</v>
      </c>
      <c r="B24" s="531"/>
      <c r="C24" s="626">
        <v>234</v>
      </c>
      <c r="D24" s="626">
        <v>87</v>
      </c>
      <c r="E24" s="626">
        <v>-2</v>
      </c>
      <c r="F24" s="626">
        <v>13</v>
      </c>
      <c r="G24" s="626">
        <v>333</v>
      </c>
    </row>
    <row r="25" spans="1:7">
      <c r="A25" s="1022"/>
      <c r="B25" s="221"/>
      <c r="C25" s="221"/>
      <c r="D25" s="221"/>
      <c r="E25" s="221"/>
      <c r="F25" s="221"/>
      <c r="G25" s="221"/>
    </row>
    <row r="26" spans="1:7" ht="50.25" customHeight="1">
      <c r="A26" s="1018" t="s">
        <v>740</v>
      </c>
      <c r="B26" s="577"/>
      <c r="C26" s="568" t="s">
        <v>1630</v>
      </c>
      <c r="D26" s="568" t="s">
        <v>1627</v>
      </c>
      <c r="E26" s="568" t="s">
        <v>1632</v>
      </c>
      <c r="F26" s="568" t="s">
        <v>1626</v>
      </c>
      <c r="G26" s="568" t="s">
        <v>1631</v>
      </c>
    </row>
    <row r="27" spans="1:7">
      <c r="A27" s="1021" t="s">
        <v>307</v>
      </c>
      <c r="B27" s="502"/>
      <c r="C27" s="502">
        <v>520</v>
      </c>
      <c r="D27" s="502">
        <v>-12</v>
      </c>
      <c r="E27" s="502">
        <v>9</v>
      </c>
      <c r="F27" s="502"/>
      <c r="G27" s="502">
        <v>517</v>
      </c>
    </row>
    <row r="28" spans="1:7">
      <c r="A28" s="1021" t="s">
        <v>308</v>
      </c>
      <c r="B28" s="502"/>
      <c r="C28" s="502">
        <v>108</v>
      </c>
      <c r="D28" s="502">
        <v>10</v>
      </c>
      <c r="E28" s="502">
        <v>-14</v>
      </c>
      <c r="F28" s="502"/>
      <c r="G28" s="502">
        <v>102</v>
      </c>
    </row>
    <row r="29" spans="1:7">
      <c r="A29" s="1021" t="s">
        <v>609</v>
      </c>
      <c r="B29" s="502"/>
      <c r="C29" s="502">
        <v>-7</v>
      </c>
      <c r="D29" s="502">
        <v>1</v>
      </c>
      <c r="E29" s="502">
        <v>2</v>
      </c>
      <c r="F29" s="502"/>
      <c r="G29" s="502">
        <v>-5</v>
      </c>
    </row>
    <row r="30" spans="1:7">
      <c r="A30" s="1020" t="s">
        <v>550</v>
      </c>
      <c r="B30" s="480"/>
      <c r="C30" s="480">
        <v>-472</v>
      </c>
      <c r="D30" s="480">
        <v>94</v>
      </c>
      <c r="E30" s="480">
        <v>9</v>
      </c>
      <c r="F30" s="480">
        <v>-10</v>
      </c>
      <c r="G30" s="480">
        <v>-379</v>
      </c>
    </row>
    <row r="31" spans="1:7">
      <c r="A31" s="1045" t="s">
        <v>1516</v>
      </c>
      <c r="B31" s="526"/>
      <c r="C31" s="526">
        <v>150</v>
      </c>
      <c r="D31" s="526">
        <v>92</v>
      </c>
      <c r="E31" s="526">
        <v>6</v>
      </c>
      <c r="F31" s="526">
        <v>-10</v>
      </c>
      <c r="G31" s="526">
        <v>234</v>
      </c>
    </row>
    <row r="32" spans="1:7">
      <c r="A32" s="1022"/>
      <c r="B32" s="221"/>
      <c r="C32" s="221"/>
      <c r="D32" s="221"/>
      <c r="E32" s="221"/>
      <c r="F32" s="221"/>
      <c r="G32" s="221"/>
    </row>
    <row r="33" spans="1:7">
      <c r="A33" s="1022"/>
      <c r="B33" s="221"/>
      <c r="C33" s="221"/>
      <c r="D33" s="221"/>
      <c r="E33" s="221"/>
      <c r="F33" s="221"/>
      <c r="G33" s="221"/>
    </row>
    <row r="34" spans="1:7">
      <c r="A34" s="1022"/>
      <c r="B34" s="221"/>
      <c r="C34" s="221"/>
      <c r="D34" s="221"/>
      <c r="E34" s="221"/>
      <c r="F34" s="221"/>
      <c r="G34" s="221"/>
    </row>
  </sheetData>
  <mergeCells count="3">
    <mergeCell ref="A1:G1"/>
    <mergeCell ref="A3:G3"/>
    <mergeCell ref="A17:G17"/>
  </mergeCells>
  <pageMargins left="0.75" right="0.75" top="1" bottom="1" header="0.5" footer="0.5"/>
  <pageSetup scale="87" orientation="portrait" horizont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dimension ref="A1:Q57"/>
  <sheetViews>
    <sheetView zoomScaleNormal="100" workbookViewId="0">
      <selection sqref="A1:H1"/>
    </sheetView>
  </sheetViews>
  <sheetFormatPr defaultColWidth="8.7109375" defaultRowHeight="10.199999999999999"/>
  <cols>
    <col min="1" max="1" width="2.42578125" style="225" customWidth="1"/>
    <col min="2" max="2" width="47.42578125" style="225" customWidth="1"/>
    <col min="3" max="8" width="13.28515625" style="232" customWidth="1"/>
    <col min="9" max="17" width="3.7109375" style="205" customWidth="1"/>
    <col min="18" max="16384" width="8.7109375" style="1079"/>
  </cols>
  <sheetData>
    <row r="1" spans="1:17" ht="15" customHeight="1">
      <c r="A1" s="1257" t="s">
        <v>1383</v>
      </c>
      <c r="B1" s="1258"/>
      <c r="C1" s="1258"/>
      <c r="D1" s="1258"/>
      <c r="E1" s="1258"/>
      <c r="F1" s="1258"/>
      <c r="G1" s="1258"/>
      <c r="H1" s="1258"/>
    </row>
    <row r="2" spans="1:17" ht="11.25" customHeight="1">
      <c r="A2" s="363"/>
      <c r="B2" s="310"/>
      <c r="C2" s="364"/>
      <c r="D2" s="364"/>
      <c r="E2" s="364"/>
      <c r="F2" s="364"/>
      <c r="G2" s="364"/>
      <c r="H2" s="365"/>
    </row>
    <row r="3" spans="1:17" ht="12.75" customHeight="1">
      <c r="A3" s="1255" t="s">
        <v>1433</v>
      </c>
      <c r="B3" s="1255"/>
      <c r="C3" s="1255"/>
      <c r="D3" s="1255"/>
      <c r="E3" s="1255"/>
      <c r="F3" s="1255"/>
      <c r="G3" s="1255"/>
      <c r="H3" s="1255"/>
    </row>
    <row r="4" spans="1:17" ht="12.75" customHeight="1">
      <c r="A4" s="1011"/>
      <c r="B4" s="1011"/>
      <c r="C4" s="1011"/>
      <c r="D4" s="1011"/>
      <c r="E4" s="1011"/>
      <c r="F4" s="1011"/>
      <c r="G4" s="1011"/>
      <c r="H4" s="1011"/>
      <c r="I4" s="1012"/>
      <c r="J4" s="1012"/>
      <c r="K4" s="1012"/>
      <c r="L4" s="1012"/>
      <c r="M4" s="1012"/>
      <c r="N4" s="1012"/>
      <c r="O4" s="1012"/>
      <c r="P4" s="1012"/>
      <c r="Q4" s="1012"/>
    </row>
    <row r="5" spans="1:17" ht="75" customHeight="1">
      <c r="A5" s="1247" t="s">
        <v>740</v>
      </c>
      <c r="B5" s="1248"/>
      <c r="C5" s="761" t="s">
        <v>1449</v>
      </c>
      <c r="D5" s="665" t="s">
        <v>1123</v>
      </c>
      <c r="E5" s="665" t="s">
        <v>1299</v>
      </c>
      <c r="F5" s="665" t="s">
        <v>30</v>
      </c>
      <c r="G5" s="761" t="s">
        <v>1221</v>
      </c>
      <c r="H5" s="665" t="s">
        <v>1356</v>
      </c>
    </row>
    <row r="6" spans="1:17" ht="11.25" customHeight="1">
      <c r="A6" s="1143" t="s">
        <v>773</v>
      </c>
      <c r="B6" s="1146"/>
      <c r="C6" s="639"/>
      <c r="D6" s="639"/>
      <c r="E6" s="639"/>
      <c r="F6" s="639"/>
      <c r="G6" s="639"/>
      <c r="H6" s="639"/>
    </row>
    <row r="7" spans="1:17">
      <c r="A7" s="1173" t="s">
        <v>439</v>
      </c>
      <c r="B7" s="1173"/>
      <c r="C7" s="630">
        <v>18</v>
      </c>
      <c r="D7" s="630"/>
      <c r="E7" s="630"/>
      <c r="F7" s="630"/>
      <c r="G7" s="630">
        <v>2</v>
      </c>
      <c r="H7" s="630">
        <v>18</v>
      </c>
    </row>
    <row r="8" spans="1:17" ht="11.25" customHeight="1">
      <c r="A8" s="1173" t="s">
        <v>337</v>
      </c>
      <c r="B8" s="1173"/>
      <c r="C8" s="630">
        <v>23</v>
      </c>
      <c r="D8" s="630">
        <v>-2</v>
      </c>
      <c r="E8" s="630"/>
      <c r="F8" s="630"/>
      <c r="G8" s="630"/>
      <c r="H8" s="630">
        <v>21</v>
      </c>
    </row>
    <row r="9" spans="1:17" ht="11.25" customHeight="1">
      <c r="A9" s="1173" t="s">
        <v>415</v>
      </c>
      <c r="B9" s="1173"/>
      <c r="C9" s="630">
        <v>30</v>
      </c>
      <c r="D9" s="630">
        <v>-2</v>
      </c>
      <c r="E9" s="630"/>
      <c r="F9" s="630"/>
      <c r="G9" s="630"/>
      <c r="H9" s="630">
        <v>28</v>
      </c>
    </row>
    <row r="10" spans="1:17">
      <c r="A10" s="1173" t="s">
        <v>987</v>
      </c>
      <c r="B10" s="1173"/>
      <c r="C10" s="630">
        <v>5</v>
      </c>
      <c r="D10" s="630"/>
      <c r="E10" s="630"/>
      <c r="F10" s="630"/>
      <c r="G10" s="630"/>
      <c r="H10" s="630">
        <v>5</v>
      </c>
    </row>
    <row r="11" spans="1:17">
      <c r="A11" s="1109" t="s">
        <v>335</v>
      </c>
      <c r="B11" s="1109"/>
      <c r="C11" s="630">
        <v>6</v>
      </c>
      <c r="D11" s="630"/>
      <c r="E11" s="630">
        <v>3</v>
      </c>
      <c r="F11" s="630"/>
      <c r="G11" s="630"/>
      <c r="H11" s="630">
        <v>9.0219062266163998</v>
      </c>
    </row>
    <row r="12" spans="1:17">
      <c r="A12" s="1142" t="s">
        <v>538</v>
      </c>
      <c r="B12" s="1142"/>
      <c r="C12" s="625">
        <v>49</v>
      </c>
      <c r="D12" s="625">
        <v>6</v>
      </c>
      <c r="E12" s="625"/>
      <c r="F12" s="625">
        <v>1</v>
      </c>
      <c r="G12" s="625">
        <v>-7</v>
      </c>
      <c r="H12" s="625">
        <v>49</v>
      </c>
    </row>
    <row r="13" spans="1:17" ht="11.25" customHeight="1">
      <c r="A13" s="1177" t="s">
        <v>620</v>
      </c>
      <c r="B13" s="1250"/>
      <c r="C13" s="626">
        <v>131</v>
      </c>
      <c r="D13" s="626">
        <v>1</v>
      </c>
      <c r="E13" s="626">
        <v>3</v>
      </c>
      <c r="F13" s="626">
        <v>1</v>
      </c>
      <c r="G13" s="626">
        <v>-6</v>
      </c>
      <c r="H13" s="626">
        <v>129</v>
      </c>
    </row>
    <row r="14" spans="1:17" ht="11.25" customHeight="1">
      <c r="A14" s="535"/>
      <c r="B14" s="535"/>
      <c r="C14" s="639"/>
      <c r="D14" s="639"/>
      <c r="E14" s="639"/>
      <c r="F14" s="639"/>
      <c r="G14" s="639"/>
      <c r="H14" s="639"/>
    </row>
    <row r="15" spans="1:17" ht="11.25" customHeight="1">
      <c r="A15" s="1143" t="s">
        <v>778</v>
      </c>
      <c r="B15" s="1125"/>
      <c r="C15" s="639"/>
      <c r="D15" s="639"/>
      <c r="E15" s="639"/>
      <c r="F15" s="639"/>
      <c r="G15" s="639"/>
      <c r="H15" s="639"/>
    </row>
    <row r="16" spans="1:17" ht="11.25" customHeight="1">
      <c r="A16" s="1173" t="s">
        <v>143</v>
      </c>
      <c r="B16" s="1173"/>
      <c r="C16" s="630">
        <v>57</v>
      </c>
      <c r="D16" s="630">
        <v>-6</v>
      </c>
      <c r="E16" s="630"/>
      <c r="F16" s="630"/>
      <c r="G16" s="630">
        <v>14</v>
      </c>
      <c r="H16" s="630">
        <v>66</v>
      </c>
    </row>
    <row r="17" spans="1:17">
      <c r="A17" s="1173" t="s">
        <v>335</v>
      </c>
      <c r="B17" s="1173"/>
      <c r="C17" s="630">
        <v>2</v>
      </c>
      <c r="D17" s="630"/>
      <c r="E17" s="630">
        <v>-2</v>
      </c>
      <c r="F17" s="630"/>
      <c r="G17" s="630"/>
      <c r="H17" s="630"/>
    </row>
    <row r="18" spans="1:17">
      <c r="A18" s="1142" t="s">
        <v>538</v>
      </c>
      <c r="B18" s="1142"/>
      <c r="C18" s="625">
        <v>42</v>
      </c>
      <c r="D18" s="625">
        <v>-2</v>
      </c>
      <c r="E18" s="625"/>
      <c r="F18" s="625"/>
      <c r="G18" s="625">
        <v>-7</v>
      </c>
      <c r="H18" s="625">
        <v>32</v>
      </c>
    </row>
    <row r="19" spans="1:17" ht="11.25" customHeight="1">
      <c r="A19" s="1177" t="s">
        <v>620</v>
      </c>
      <c r="B19" s="1250"/>
      <c r="C19" s="626">
        <v>102</v>
      </c>
      <c r="D19" s="626">
        <v>-8</v>
      </c>
      <c r="E19" s="626">
        <v>-2</v>
      </c>
      <c r="F19" s="626"/>
      <c r="G19" s="626">
        <v>7</v>
      </c>
      <c r="H19" s="626">
        <v>99</v>
      </c>
    </row>
    <row r="20" spans="1:17" ht="11.25" customHeight="1">
      <c r="A20" s="507"/>
      <c r="B20" s="535"/>
      <c r="C20" s="639"/>
      <c r="D20" s="639"/>
      <c r="E20" s="639"/>
      <c r="F20" s="639"/>
      <c r="G20" s="639"/>
      <c r="H20" s="639"/>
    </row>
    <row r="21" spans="1:17" ht="22.5" customHeight="1">
      <c r="A21" s="1143" t="s">
        <v>915</v>
      </c>
      <c r="B21" s="1125"/>
      <c r="C21" s="630">
        <v>29</v>
      </c>
      <c r="D21" s="630">
        <v>9</v>
      </c>
      <c r="E21" s="630">
        <v>5</v>
      </c>
      <c r="F21" s="630">
        <v>1</v>
      </c>
      <c r="G21" s="630">
        <v>-13</v>
      </c>
      <c r="H21" s="630">
        <v>30</v>
      </c>
    </row>
    <row r="22" spans="1:17" ht="11.25" customHeight="1">
      <c r="A22" s="570"/>
      <c r="B22" s="349"/>
      <c r="C22" s="297"/>
      <c r="D22" s="297"/>
      <c r="E22" s="297"/>
      <c r="F22" s="297"/>
      <c r="G22" s="297"/>
      <c r="H22" s="294"/>
    </row>
    <row r="23" spans="1:17" ht="34.5" customHeight="1">
      <c r="A23" s="1256" t="s">
        <v>1529</v>
      </c>
      <c r="B23" s="1256"/>
      <c r="C23" s="1256"/>
      <c r="D23" s="1256"/>
      <c r="E23" s="1256"/>
      <c r="F23" s="1256"/>
      <c r="G23" s="1256"/>
      <c r="H23" s="1256"/>
      <c r="I23" s="801"/>
      <c r="J23" s="801"/>
      <c r="K23" s="801"/>
      <c r="L23" s="801"/>
      <c r="M23" s="801"/>
      <c r="N23" s="801"/>
      <c r="O23" s="801"/>
      <c r="P23" s="801"/>
      <c r="Q23" s="801"/>
    </row>
    <row r="24" spans="1:17" ht="11.25" customHeight="1">
      <c r="A24" s="570"/>
      <c r="B24" s="416"/>
      <c r="C24" s="294"/>
      <c r="D24" s="294"/>
      <c r="E24" s="294"/>
      <c r="F24" s="294"/>
      <c r="G24" s="294"/>
      <c r="H24" s="294"/>
      <c r="I24" s="801"/>
      <c r="J24" s="801"/>
      <c r="K24" s="801"/>
      <c r="L24" s="801"/>
      <c r="M24" s="801"/>
      <c r="N24" s="801"/>
      <c r="O24" s="801"/>
      <c r="P24" s="801"/>
      <c r="Q24" s="801"/>
    </row>
    <row r="25" spans="1:17" ht="12.75" customHeight="1">
      <c r="A25" s="1255" t="s">
        <v>1300</v>
      </c>
      <c r="B25" s="1255"/>
      <c r="C25" s="1255"/>
      <c r="D25" s="1255"/>
      <c r="E25" s="1255"/>
      <c r="F25" s="1255"/>
      <c r="G25" s="1255"/>
      <c r="H25" s="1255"/>
    </row>
    <row r="26" spans="1:17" ht="12.75" customHeight="1">
      <c r="A26" s="1011"/>
      <c r="B26" s="1011"/>
      <c r="C26" s="1011"/>
      <c r="D26" s="1011"/>
      <c r="E26" s="1011"/>
      <c r="F26" s="1011"/>
      <c r="G26" s="1011"/>
      <c r="H26" s="1011"/>
      <c r="I26" s="1012"/>
      <c r="J26" s="1012"/>
      <c r="K26" s="1012"/>
      <c r="L26" s="1012"/>
      <c r="M26" s="1012"/>
      <c r="N26" s="1012"/>
      <c r="O26" s="1012"/>
      <c r="P26" s="1012"/>
      <c r="Q26" s="1012"/>
    </row>
    <row r="27" spans="1:17" ht="11.25" customHeight="1">
      <c r="A27" s="570"/>
      <c r="B27" s="349"/>
      <c r="C27" s="318"/>
      <c r="D27" s="318"/>
      <c r="E27" s="318"/>
      <c r="F27" s="318"/>
      <c r="G27" s="318"/>
      <c r="H27" s="489" t="s">
        <v>1025</v>
      </c>
    </row>
    <row r="28" spans="1:17" ht="68.25" customHeight="1">
      <c r="A28" s="1247" t="s">
        <v>740</v>
      </c>
      <c r="B28" s="1248"/>
      <c r="C28" s="762" t="s">
        <v>1229</v>
      </c>
      <c r="D28" s="277" t="s">
        <v>1123</v>
      </c>
      <c r="E28" s="277" t="s">
        <v>1299</v>
      </c>
      <c r="F28" s="277" t="s">
        <v>30</v>
      </c>
      <c r="G28" s="277" t="s">
        <v>1660</v>
      </c>
      <c r="H28" s="277" t="s">
        <v>1230</v>
      </c>
    </row>
    <row r="29" spans="1:17" ht="11.25" customHeight="1">
      <c r="A29" s="1143" t="s">
        <v>773</v>
      </c>
      <c r="B29" s="1125"/>
      <c r="C29" s="499"/>
      <c r="D29" s="499"/>
      <c r="E29" s="499"/>
      <c r="F29" s="499"/>
      <c r="G29" s="499"/>
      <c r="H29" s="499"/>
    </row>
    <row r="30" spans="1:17" ht="11.25" customHeight="1">
      <c r="A30" s="1173" t="s">
        <v>439</v>
      </c>
      <c r="B30" s="1173"/>
      <c r="C30" s="502">
        <v>19</v>
      </c>
      <c r="D30" s="502">
        <v>-1</v>
      </c>
      <c r="E30" s="502"/>
      <c r="F30" s="502">
        <v>-1</v>
      </c>
      <c r="G30" s="502">
        <v>2</v>
      </c>
      <c r="H30" s="502">
        <v>18</v>
      </c>
    </row>
    <row r="31" spans="1:17" ht="11.25" customHeight="1">
      <c r="A31" s="1173" t="s">
        <v>337</v>
      </c>
      <c r="B31" s="1173"/>
      <c r="C31" s="502">
        <v>25</v>
      </c>
      <c r="D31" s="502">
        <v>-2</v>
      </c>
      <c r="E31" s="502"/>
      <c r="F31" s="502">
        <v>-1</v>
      </c>
      <c r="G31" s="502"/>
      <c r="H31" s="502">
        <v>23</v>
      </c>
    </row>
    <row r="32" spans="1:17" ht="11.25" customHeight="1">
      <c r="A32" s="1173" t="s">
        <v>415</v>
      </c>
      <c r="B32" s="1173"/>
      <c r="C32" s="502">
        <v>32</v>
      </c>
      <c r="D32" s="502">
        <v>-2</v>
      </c>
      <c r="E32" s="502"/>
      <c r="F32" s="502">
        <v>-2</v>
      </c>
      <c r="G32" s="502">
        <v>2</v>
      </c>
      <c r="H32" s="502">
        <v>30</v>
      </c>
    </row>
    <row r="33" spans="1:8">
      <c r="A33" s="1173" t="s">
        <v>987</v>
      </c>
      <c r="B33" s="1173"/>
      <c r="C33" s="502">
        <v>9</v>
      </c>
      <c r="D33" s="502">
        <v>-3</v>
      </c>
      <c r="E33" s="502"/>
      <c r="F33" s="502"/>
      <c r="G33" s="502"/>
      <c r="H33" s="502">
        <v>5</v>
      </c>
    </row>
    <row r="34" spans="1:8">
      <c r="A34" s="1173" t="s">
        <v>335</v>
      </c>
      <c r="B34" s="1173"/>
      <c r="C34" s="502">
        <v>12</v>
      </c>
      <c r="D34" s="502"/>
      <c r="E34" s="502">
        <v>-6</v>
      </c>
      <c r="F34" s="502">
        <v>-1</v>
      </c>
      <c r="G34" s="502"/>
      <c r="H34" s="502">
        <v>6</v>
      </c>
    </row>
    <row r="35" spans="1:8">
      <c r="A35" s="1142" t="s">
        <v>538</v>
      </c>
      <c r="B35" s="1142"/>
      <c r="C35" s="480">
        <v>44</v>
      </c>
      <c r="D35" s="480">
        <v>5</v>
      </c>
      <c r="E35" s="480"/>
      <c r="F35" s="480">
        <v>-3</v>
      </c>
      <c r="G35" s="480"/>
      <c r="H35" s="480">
        <v>49</v>
      </c>
    </row>
    <row r="36" spans="1:8">
      <c r="A36" s="1177" t="s">
        <v>620</v>
      </c>
      <c r="B36" s="1250"/>
      <c r="C36" s="526">
        <v>141</v>
      </c>
      <c r="D36" s="526">
        <v>-3</v>
      </c>
      <c r="E36" s="526">
        <v>-6</v>
      </c>
      <c r="F36" s="526">
        <v>-7</v>
      </c>
      <c r="G36" s="526">
        <v>4</v>
      </c>
      <c r="H36" s="526">
        <v>131</v>
      </c>
    </row>
    <row r="37" spans="1:8" ht="11.25" customHeight="1">
      <c r="A37" s="535"/>
      <c r="B37" s="535"/>
      <c r="C37" s="499"/>
      <c r="D37" s="499"/>
      <c r="E37" s="499"/>
      <c r="F37" s="499"/>
      <c r="G37" s="499"/>
      <c r="H37" s="499"/>
    </row>
    <row r="38" spans="1:8" ht="11.25" customHeight="1">
      <c r="A38" s="1143" t="s">
        <v>778</v>
      </c>
      <c r="B38" s="1125"/>
      <c r="C38" s="499"/>
      <c r="D38" s="499"/>
      <c r="E38" s="499"/>
      <c r="F38" s="499"/>
      <c r="G38" s="499"/>
      <c r="H38" s="499"/>
    </row>
    <row r="39" spans="1:8" ht="11.25" customHeight="1">
      <c r="A39" s="1173" t="s">
        <v>143</v>
      </c>
      <c r="B39" s="1173"/>
      <c r="C39" s="502">
        <v>59</v>
      </c>
      <c r="D39" s="502">
        <v>-19</v>
      </c>
      <c r="E39" s="502"/>
      <c r="F39" s="502">
        <v>-1</v>
      </c>
      <c r="G39" s="502">
        <v>21</v>
      </c>
      <c r="H39" s="502">
        <v>57</v>
      </c>
    </row>
    <row r="40" spans="1:8">
      <c r="A40" s="1173" t="s">
        <v>335</v>
      </c>
      <c r="B40" s="1173"/>
      <c r="C40" s="502">
        <v>1</v>
      </c>
      <c r="D40" s="502"/>
      <c r="E40" s="502">
        <v>2</v>
      </c>
      <c r="F40" s="502"/>
      <c r="G40" s="502"/>
      <c r="H40" s="502">
        <v>2</v>
      </c>
    </row>
    <row r="41" spans="1:8">
      <c r="A41" s="1142" t="s">
        <v>538</v>
      </c>
      <c r="B41" s="1142"/>
      <c r="C41" s="480">
        <v>35</v>
      </c>
      <c r="D41" s="480">
        <v>8</v>
      </c>
      <c r="E41" s="480"/>
      <c r="F41" s="480">
        <v>-3</v>
      </c>
      <c r="G41" s="480"/>
      <c r="H41" s="480">
        <v>42</v>
      </c>
    </row>
    <row r="42" spans="1:8" ht="11.25" customHeight="1">
      <c r="A42" s="1177" t="s">
        <v>620</v>
      </c>
      <c r="B42" s="1250"/>
      <c r="C42" s="526">
        <v>93</v>
      </c>
      <c r="D42" s="526">
        <v>-10</v>
      </c>
      <c r="E42" s="526">
        <v>2</v>
      </c>
      <c r="F42" s="526">
        <v>-3</v>
      </c>
      <c r="G42" s="526">
        <v>21</v>
      </c>
      <c r="H42" s="526">
        <v>102</v>
      </c>
    </row>
    <row r="43" spans="1:8" ht="11.25" customHeight="1">
      <c r="A43" s="535"/>
      <c r="B43" s="535"/>
      <c r="C43" s="499"/>
      <c r="D43" s="499"/>
      <c r="E43" s="499"/>
      <c r="F43" s="499"/>
      <c r="G43" s="499"/>
      <c r="H43" s="499"/>
    </row>
    <row r="44" spans="1:8" ht="22.5" customHeight="1">
      <c r="A44" s="1143" t="s">
        <v>915</v>
      </c>
      <c r="B44" s="1125"/>
      <c r="C44" s="502">
        <v>48</v>
      </c>
      <c r="D44" s="502">
        <v>7</v>
      </c>
      <c r="E44" s="502">
        <v>-8</v>
      </c>
      <c r="F44" s="502">
        <v>-4</v>
      </c>
      <c r="G44" s="502">
        <v>-17</v>
      </c>
      <c r="H44" s="502">
        <v>29</v>
      </c>
    </row>
    <row r="45" spans="1:8" ht="11.25" customHeight="1">
      <c r="A45" s="570"/>
      <c r="B45" s="349"/>
      <c r="C45" s="294"/>
      <c r="D45" s="294"/>
      <c r="E45" s="294"/>
      <c r="F45" s="294"/>
      <c r="G45" s="294"/>
      <c r="H45" s="294"/>
    </row>
    <row r="46" spans="1:8" ht="11.25" customHeight="1">
      <c r="A46" s="303"/>
      <c r="B46" s="303"/>
      <c r="C46" s="366"/>
      <c r="D46" s="367"/>
      <c r="E46" s="366"/>
      <c r="F46" s="360"/>
      <c r="G46" s="360"/>
      <c r="H46" s="367"/>
    </row>
    <row r="47" spans="1:8" ht="11.25" customHeight="1">
      <c r="A47" s="303"/>
      <c r="B47" s="303"/>
      <c r="C47" s="366"/>
      <c r="D47" s="367"/>
      <c r="E47" s="297"/>
      <c r="F47" s="360"/>
      <c r="G47" s="360"/>
      <c r="H47" s="367"/>
    </row>
    <row r="48" spans="1:8" ht="11.25" customHeight="1">
      <c r="A48" s="303"/>
      <c r="B48" s="303"/>
      <c r="C48" s="366"/>
      <c r="D48" s="367"/>
      <c r="E48" s="366"/>
      <c r="F48" s="366"/>
      <c r="G48" s="366"/>
      <c r="H48" s="367"/>
    </row>
    <row r="49" spans="1:8" ht="15" customHeight="1">
      <c r="A49" s="303"/>
      <c r="B49" s="303"/>
      <c r="C49" s="366"/>
      <c r="D49" s="367"/>
      <c r="E49" s="366"/>
      <c r="F49" s="366"/>
      <c r="G49" s="366"/>
      <c r="H49" s="367"/>
    </row>
    <row r="50" spans="1:8" ht="15" customHeight="1">
      <c r="A50" s="368"/>
      <c r="B50" s="303"/>
      <c r="C50" s="360"/>
      <c r="D50" s="360"/>
      <c r="E50" s="366"/>
      <c r="F50" s="360"/>
      <c r="G50" s="360"/>
      <c r="H50" s="367"/>
    </row>
    <row r="51" spans="1:8" ht="15" customHeight="1">
      <c r="A51" s="368"/>
      <c r="B51" s="303"/>
      <c r="C51" s="369"/>
      <c r="D51" s="370"/>
      <c r="E51" s="370"/>
      <c r="F51" s="370"/>
      <c r="G51" s="370"/>
      <c r="H51" s="370"/>
    </row>
    <row r="52" spans="1:8" ht="15" customHeight="1">
      <c r="A52" s="371"/>
      <c r="B52" s="372"/>
      <c r="C52" s="373"/>
      <c r="D52" s="373"/>
      <c r="E52" s="374"/>
      <c r="F52" s="373"/>
      <c r="G52" s="373"/>
      <c r="H52" s="375"/>
    </row>
    <row r="53" spans="1:8">
      <c r="A53" s="228"/>
      <c r="B53" s="228"/>
      <c r="C53" s="354"/>
      <c r="D53" s="354"/>
      <c r="E53" s="354"/>
      <c r="F53" s="354"/>
      <c r="G53" s="354"/>
      <c r="H53" s="354"/>
    </row>
    <row r="54" spans="1:8">
      <c r="A54" s="228"/>
      <c r="B54" s="228"/>
      <c r="C54" s="354"/>
      <c r="D54" s="354"/>
      <c r="E54" s="354"/>
      <c r="F54" s="354"/>
      <c r="G54" s="354"/>
      <c r="H54" s="354"/>
    </row>
    <row r="55" spans="1:8">
      <c r="A55" s="228"/>
      <c r="B55" s="228"/>
      <c r="C55" s="354"/>
      <c r="D55" s="354"/>
      <c r="E55" s="354"/>
      <c r="F55" s="354"/>
      <c r="G55" s="354"/>
      <c r="H55" s="354"/>
    </row>
    <row r="56" spans="1:8">
      <c r="A56" s="228"/>
      <c r="B56" s="228"/>
      <c r="C56" s="354"/>
      <c r="D56" s="354"/>
      <c r="E56" s="354"/>
      <c r="F56" s="354"/>
      <c r="G56" s="354"/>
      <c r="H56" s="354"/>
    </row>
    <row r="57" spans="1:8">
      <c r="A57" s="228"/>
      <c r="B57" s="228"/>
      <c r="C57" s="354"/>
      <c r="D57" s="354"/>
      <c r="E57" s="354"/>
      <c r="F57" s="354"/>
      <c r="G57" s="354"/>
      <c r="H57" s="354"/>
    </row>
  </sheetData>
  <mergeCells count="34">
    <mergeCell ref="A1:H1"/>
    <mergeCell ref="A15:B15"/>
    <mergeCell ref="A19:B19"/>
    <mergeCell ref="A13:B13"/>
    <mergeCell ref="A6:B6"/>
    <mergeCell ref="A5:B5"/>
    <mergeCell ref="A3:H3"/>
    <mergeCell ref="A12:B12"/>
    <mergeCell ref="A11:B11"/>
    <mergeCell ref="A10:B10"/>
    <mergeCell ref="A9:B9"/>
    <mergeCell ref="A8:B8"/>
    <mergeCell ref="A7:B7"/>
    <mergeCell ref="A16:B16"/>
    <mergeCell ref="A17:B17"/>
    <mergeCell ref="A18:B18"/>
    <mergeCell ref="A21:B21"/>
    <mergeCell ref="A29:B29"/>
    <mergeCell ref="A38:B38"/>
    <mergeCell ref="A25:H25"/>
    <mergeCell ref="A36:B36"/>
    <mergeCell ref="A23:H23"/>
    <mergeCell ref="A30:B30"/>
    <mergeCell ref="A31:B31"/>
    <mergeCell ref="A32:B32"/>
    <mergeCell ref="A33:B33"/>
    <mergeCell ref="A34:B34"/>
    <mergeCell ref="A35:B35"/>
    <mergeCell ref="A40:B40"/>
    <mergeCell ref="A41:B41"/>
    <mergeCell ref="A42:B42"/>
    <mergeCell ref="A28:B28"/>
    <mergeCell ref="A44:B44"/>
    <mergeCell ref="A39:B39"/>
  </mergeCells>
  <phoneticPr fontId="0" type="noConversion"/>
  <pageMargins left="0.75" right="0.75" top="1" bottom="1" header="0.5" footer="0.5"/>
  <pageSetup paperSize="9" scale="77"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Q158"/>
  <sheetViews>
    <sheetView zoomScaleNormal="100" zoomScalePageLayoutView="110" workbookViewId="0">
      <selection sqref="A1:E1"/>
    </sheetView>
  </sheetViews>
  <sheetFormatPr defaultColWidth="8.7109375" defaultRowHeight="10.199999999999999"/>
  <cols>
    <col min="1" max="1" width="2.42578125" style="243" customWidth="1"/>
    <col min="2" max="2" width="72.42578125" style="225" customWidth="1"/>
    <col min="3" max="5" width="18.28515625" style="232" customWidth="1"/>
    <col min="6" max="17" width="3.7109375" style="205" customWidth="1"/>
    <col min="18" max="16384" width="8.7109375" style="1079"/>
  </cols>
  <sheetData>
    <row r="1" spans="1:17" ht="15.75" customHeight="1">
      <c r="A1" s="1144" t="s">
        <v>1384</v>
      </c>
      <c r="B1" s="1144"/>
      <c r="C1" s="1144"/>
      <c r="D1" s="1144"/>
      <c r="E1" s="1144"/>
    </row>
    <row r="2" spans="1:17" ht="11.25" customHeight="1">
      <c r="A2" s="1240"/>
      <c r="B2" s="1240"/>
      <c r="C2" s="1240"/>
      <c r="D2" s="1240"/>
      <c r="E2" s="1240"/>
    </row>
    <row r="3" spans="1:17" ht="11.25" customHeight="1">
      <c r="A3" s="1268" t="s">
        <v>740</v>
      </c>
      <c r="B3" s="1268"/>
      <c r="C3" s="379"/>
      <c r="D3" s="650">
        <v>2018</v>
      </c>
      <c r="E3" s="309">
        <v>2017</v>
      </c>
    </row>
    <row r="4" spans="1:17" ht="11.25" customHeight="1">
      <c r="A4" s="1125" t="s">
        <v>1145</v>
      </c>
      <c r="B4" s="1125"/>
      <c r="C4" s="1125"/>
      <c r="D4" s="630">
        <v>149</v>
      </c>
      <c r="E4" s="502">
        <v>154</v>
      </c>
    </row>
    <row r="5" spans="1:17" ht="11.25" customHeight="1">
      <c r="A5" s="1125" t="s">
        <v>1146</v>
      </c>
      <c r="B5" s="1125"/>
      <c r="C5" s="518"/>
      <c r="D5" s="630">
        <v>13</v>
      </c>
      <c r="E5" s="502">
        <v>11</v>
      </c>
    </row>
    <row r="6" spans="1:17" ht="11.25" customHeight="1">
      <c r="A6" s="1271"/>
      <c r="B6" s="1271"/>
      <c r="C6" s="1271"/>
      <c r="D6" s="1271"/>
      <c r="E6" s="1271"/>
    </row>
    <row r="7" spans="1:17" ht="79.5" customHeight="1">
      <c r="A7" s="1264" t="s">
        <v>1500</v>
      </c>
      <c r="B7" s="1264"/>
      <c r="C7" s="1264"/>
      <c r="D7" s="1264"/>
      <c r="E7" s="1264"/>
      <c r="L7" s="239"/>
    </row>
    <row r="8" spans="1:17" ht="11.25" customHeight="1">
      <c r="A8" s="1272"/>
      <c r="B8" s="1272"/>
      <c r="C8" s="1272"/>
      <c r="D8" s="1272"/>
      <c r="E8" s="1272"/>
    </row>
    <row r="9" spans="1:17" ht="11.25" customHeight="1">
      <c r="A9" s="1277" t="s">
        <v>1105</v>
      </c>
      <c r="B9" s="1277"/>
      <c r="C9" s="1277"/>
      <c r="D9" s="1277"/>
      <c r="E9" s="1277"/>
    </row>
    <row r="10" spans="1:17" ht="11.25" customHeight="1">
      <c r="A10" s="945"/>
      <c r="B10" s="945"/>
      <c r="C10" s="945"/>
      <c r="D10" s="945"/>
      <c r="E10" s="945"/>
      <c r="F10" s="944"/>
      <c r="G10" s="944"/>
      <c r="H10" s="944"/>
      <c r="I10" s="944"/>
      <c r="J10" s="944"/>
      <c r="K10" s="944"/>
      <c r="L10" s="944"/>
      <c r="M10" s="944"/>
      <c r="N10" s="944"/>
      <c r="O10" s="944"/>
      <c r="P10" s="944"/>
      <c r="Q10" s="944"/>
    </row>
    <row r="11" spans="1:17" ht="127.5" customHeight="1">
      <c r="A11" s="1264" t="s">
        <v>1501</v>
      </c>
      <c r="B11" s="1264"/>
      <c r="C11" s="1264"/>
      <c r="D11" s="1264"/>
      <c r="E11" s="1264"/>
    </row>
    <row r="12" spans="1:17" ht="11.25" customHeight="1">
      <c r="A12" s="797"/>
      <c r="B12" s="797"/>
      <c r="C12" s="797"/>
      <c r="D12" s="797"/>
      <c r="E12" s="797"/>
      <c r="F12" s="801"/>
      <c r="G12" s="801"/>
      <c r="H12" s="801"/>
      <c r="I12" s="801"/>
      <c r="J12" s="801"/>
      <c r="K12" s="801"/>
      <c r="L12" s="801"/>
      <c r="M12" s="801"/>
      <c r="N12" s="801"/>
      <c r="O12" s="801"/>
      <c r="P12" s="801"/>
      <c r="Q12" s="801"/>
    </row>
    <row r="13" spans="1:17" ht="11.25" customHeight="1">
      <c r="A13" s="1278" t="s">
        <v>1195</v>
      </c>
      <c r="B13" s="1278"/>
      <c r="C13" s="1278"/>
      <c r="D13" s="1278"/>
      <c r="E13" s="1278"/>
      <c r="F13" s="801"/>
      <c r="G13" s="801"/>
      <c r="H13" s="801"/>
      <c r="I13" s="801"/>
      <c r="J13" s="801"/>
      <c r="K13" s="801"/>
      <c r="L13" s="801"/>
      <c r="M13" s="801"/>
      <c r="N13" s="801"/>
      <c r="O13" s="801"/>
      <c r="P13" s="801"/>
      <c r="Q13" s="801"/>
    </row>
    <row r="14" spans="1:17" ht="11.25" customHeight="1">
      <c r="A14" s="946"/>
      <c r="B14" s="946"/>
      <c r="C14" s="946"/>
      <c r="D14" s="946"/>
      <c r="E14" s="946"/>
      <c r="F14" s="944"/>
      <c r="G14" s="944"/>
      <c r="H14" s="944"/>
      <c r="I14" s="944"/>
      <c r="J14" s="944"/>
      <c r="K14" s="944"/>
      <c r="L14" s="944"/>
      <c r="M14" s="944"/>
      <c r="N14" s="944"/>
      <c r="O14" s="944"/>
      <c r="P14" s="944"/>
      <c r="Q14" s="944"/>
    </row>
    <row r="15" spans="1:17" ht="114" customHeight="1">
      <c r="A15" s="1264" t="s">
        <v>1219</v>
      </c>
      <c r="B15" s="1264"/>
      <c r="C15" s="1264"/>
      <c r="D15" s="1264"/>
      <c r="E15" s="1264"/>
      <c r="F15" s="801"/>
      <c r="G15" s="801"/>
      <c r="H15" s="801"/>
      <c r="I15" s="801"/>
      <c r="J15" s="801"/>
      <c r="K15" s="801"/>
      <c r="L15" s="801"/>
      <c r="M15" s="801"/>
      <c r="N15" s="801"/>
      <c r="O15" s="801"/>
      <c r="P15" s="801"/>
      <c r="Q15" s="801"/>
    </row>
    <row r="16" spans="1:17" ht="11.25" customHeight="1">
      <c r="A16" s="797"/>
      <c r="B16" s="797"/>
      <c r="C16" s="797"/>
      <c r="D16" s="797"/>
      <c r="E16" s="797"/>
      <c r="F16" s="801"/>
      <c r="G16" s="801"/>
      <c r="H16" s="801"/>
      <c r="I16" s="801"/>
      <c r="J16" s="801"/>
      <c r="K16" s="801"/>
      <c r="L16" s="801"/>
      <c r="M16" s="801"/>
      <c r="N16" s="801"/>
      <c r="O16" s="801"/>
      <c r="P16" s="801"/>
      <c r="Q16" s="801"/>
    </row>
    <row r="17" spans="1:17" ht="11.25" customHeight="1">
      <c r="A17" s="1268" t="s">
        <v>740</v>
      </c>
      <c r="B17" s="1268"/>
      <c r="C17" s="379"/>
      <c r="D17" s="650">
        <v>2018</v>
      </c>
      <c r="E17" s="309">
        <v>2017</v>
      </c>
    </row>
    <row r="18" spans="1:17" ht="11.25" customHeight="1">
      <c r="A18" s="1125" t="s">
        <v>1028</v>
      </c>
      <c r="B18" s="1125"/>
      <c r="C18" s="518"/>
      <c r="D18" s="675">
        <v>108</v>
      </c>
      <c r="E18" s="571">
        <v>111</v>
      </c>
    </row>
    <row r="19" spans="1:17" ht="11.25" customHeight="1">
      <c r="A19" s="1125" t="s">
        <v>1029</v>
      </c>
      <c r="B19" s="1125"/>
      <c r="C19" s="518"/>
      <c r="D19" s="630">
        <v>177</v>
      </c>
      <c r="E19" s="502">
        <v>197</v>
      </c>
    </row>
    <row r="20" spans="1:17" ht="11.25" customHeight="1">
      <c r="A20" s="1118" t="s">
        <v>1030</v>
      </c>
      <c r="B20" s="1118"/>
      <c r="C20" s="579"/>
      <c r="D20" s="625">
        <v>-135</v>
      </c>
      <c r="E20" s="480">
        <v>-154</v>
      </c>
    </row>
    <row r="21" spans="1:17" ht="11.25" customHeight="1">
      <c r="A21" s="1177" t="s">
        <v>1031</v>
      </c>
      <c r="B21" s="1177"/>
      <c r="C21" s="578"/>
      <c r="D21" s="626">
        <v>149</v>
      </c>
      <c r="E21" s="526">
        <v>154</v>
      </c>
    </row>
    <row r="22" spans="1:17" ht="11.25" customHeight="1">
      <c r="A22" s="239"/>
      <c r="B22" s="239"/>
      <c r="C22" s="239"/>
      <c r="D22" s="239"/>
      <c r="E22" s="239"/>
      <c r="F22" s="903"/>
      <c r="G22" s="903"/>
      <c r="H22" s="903"/>
      <c r="I22" s="903"/>
      <c r="J22" s="903"/>
      <c r="K22" s="903"/>
      <c r="L22" s="903"/>
      <c r="M22" s="903"/>
      <c r="N22" s="903"/>
      <c r="O22" s="903"/>
      <c r="P22" s="903"/>
      <c r="Q22" s="903"/>
    </row>
    <row r="23" spans="1:17" ht="11.25" customHeight="1">
      <c r="A23" s="1273"/>
      <c r="B23" s="1273"/>
      <c r="C23" s="1273"/>
      <c r="D23" s="1273"/>
      <c r="E23" s="1273"/>
    </row>
    <row r="24" spans="1:17" ht="61.5" customHeight="1">
      <c r="A24" s="1268" t="s">
        <v>894</v>
      </c>
      <c r="B24" s="1268"/>
      <c r="C24" s="379"/>
      <c r="D24" s="648" t="s">
        <v>1056</v>
      </c>
      <c r="E24" s="648" t="s">
        <v>1057</v>
      </c>
    </row>
    <row r="25" spans="1:17" ht="11.25" customHeight="1">
      <c r="A25" s="1125" t="s">
        <v>798</v>
      </c>
      <c r="B25" s="1125"/>
      <c r="C25" s="518"/>
      <c r="D25" s="630">
        <v>31</v>
      </c>
      <c r="E25" s="630">
        <v>57</v>
      </c>
    </row>
    <row r="26" spans="1:17" ht="11.25" customHeight="1">
      <c r="A26" s="1125" t="s">
        <v>206</v>
      </c>
      <c r="B26" s="1125"/>
      <c r="C26" s="518"/>
      <c r="D26" s="630">
        <v>24</v>
      </c>
      <c r="E26" s="630">
        <v>5</v>
      </c>
      <c r="F26" s="801"/>
      <c r="G26" s="801"/>
      <c r="H26" s="801"/>
      <c r="I26" s="801"/>
      <c r="J26" s="801"/>
      <c r="K26" s="801"/>
      <c r="L26" s="801"/>
      <c r="M26" s="801"/>
      <c r="N26" s="801"/>
      <c r="O26" s="801"/>
      <c r="P26" s="801"/>
      <c r="Q26" s="801"/>
    </row>
    <row r="27" spans="1:17" ht="11.25" customHeight="1">
      <c r="A27" s="1125" t="s">
        <v>1037</v>
      </c>
      <c r="B27" s="1125"/>
      <c r="C27" s="518"/>
      <c r="D27" s="630">
        <v>35</v>
      </c>
      <c r="E27" s="630">
        <v>25</v>
      </c>
    </row>
    <row r="28" spans="1:17" ht="11.25" customHeight="1">
      <c r="A28" s="1166" t="s">
        <v>362</v>
      </c>
      <c r="B28" s="1166"/>
      <c r="C28" s="479"/>
      <c r="D28" s="625">
        <v>10</v>
      </c>
      <c r="E28" s="625">
        <v>13</v>
      </c>
    </row>
    <row r="29" spans="1:17" ht="11.25" customHeight="1">
      <c r="A29" s="1177" t="s">
        <v>620</v>
      </c>
      <c r="B29" s="1177"/>
      <c r="C29" s="578"/>
      <c r="D29" s="626">
        <v>100</v>
      </c>
      <c r="E29" s="626">
        <v>100</v>
      </c>
    </row>
    <row r="30" spans="1:17" ht="11.25" customHeight="1">
      <c r="A30" s="903"/>
      <c r="B30" s="903"/>
      <c r="C30" s="903"/>
      <c r="D30" s="903"/>
      <c r="E30" s="903"/>
      <c r="F30" s="903"/>
      <c r="G30" s="903"/>
      <c r="H30" s="903"/>
      <c r="I30" s="903"/>
      <c r="J30" s="903"/>
      <c r="K30" s="903"/>
      <c r="L30" s="903"/>
      <c r="M30" s="903"/>
      <c r="N30" s="903"/>
      <c r="O30" s="903"/>
      <c r="P30" s="903"/>
      <c r="Q30" s="903"/>
    </row>
    <row r="31" spans="1:17" ht="11.25" customHeight="1">
      <c r="A31" s="1240"/>
      <c r="B31" s="1240"/>
      <c r="C31" s="1240"/>
      <c r="D31" s="1240"/>
      <c r="E31" s="1240"/>
    </row>
    <row r="32" spans="1:17" ht="55.5" customHeight="1">
      <c r="A32" s="1266" t="s">
        <v>740</v>
      </c>
      <c r="B32" s="1266"/>
      <c r="C32" s="577" t="s">
        <v>1056</v>
      </c>
      <c r="D32" s="577" t="s">
        <v>1057</v>
      </c>
      <c r="E32" s="577" t="s">
        <v>1058</v>
      </c>
      <c r="F32" s="378"/>
      <c r="G32" s="378"/>
      <c r="H32" s="378"/>
      <c r="I32" s="378"/>
      <c r="J32" s="378"/>
      <c r="K32" s="378"/>
      <c r="L32" s="378"/>
      <c r="M32" s="378"/>
      <c r="N32" s="378"/>
      <c r="O32" s="378"/>
      <c r="P32" s="378"/>
      <c r="Q32" s="378"/>
    </row>
    <row r="33" spans="1:17" ht="11.25" customHeight="1">
      <c r="A33" s="1267" t="s">
        <v>1453</v>
      </c>
      <c r="B33" s="1267"/>
      <c r="C33" s="553">
        <v>323</v>
      </c>
      <c r="D33" s="502">
        <v>-156</v>
      </c>
      <c r="E33" s="502">
        <v>168</v>
      </c>
    </row>
    <row r="34" spans="1:17" ht="11.25" customHeight="1">
      <c r="A34" s="1125" t="s">
        <v>316</v>
      </c>
      <c r="B34" s="1125"/>
      <c r="C34" s="553">
        <v>-14</v>
      </c>
      <c r="D34" s="502">
        <v>10</v>
      </c>
      <c r="E34" s="502">
        <v>-4</v>
      </c>
    </row>
    <row r="35" spans="1:17" ht="11.25" customHeight="1">
      <c r="A35" s="1276" t="s">
        <v>1051</v>
      </c>
      <c r="B35" s="1276"/>
      <c r="C35" s="553">
        <v>4</v>
      </c>
      <c r="D35" s="502"/>
      <c r="E35" s="502">
        <v>4</v>
      </c>
    </row>
    <row r="36" spans="1:17" ht="11.25" customHeight="1">
      <c r="A36" s="1260" t="s">
        <v>1045</v>
      </c>
      <c r="B36" s="1260"/>
      <c r="C36" s="553"/>
      <c r="D36" s="502"/>
      <c r="E36" s="502"/>
    </row>
    <row r="37" spans="1:17" ht="11.25" customHeight="1">
      <c r="A37" s="1173" t="s">
        <v>1032</v>
      </c>
      <c r="B37" s="1173"/>
      <c r="C37" s="553">
        <v>8</v>
      </c>
      <c r="D37" s="502"/>
      <c r="E37" s="502">
        <v>9</v>
      </c>
    </row>
    <row r="38" spans="1:17" ht="11.25" customHeight="1">
      <c r="A38" s="1261" t="s">
        <v>1059</v>
      </c>
      <c r="B38" s="1261"/>
      <c r="C38" s="571">
        <v>5</v>
      </c>
      <c r="D38" s="571">
        <v>-2</v>
      </c>
      <c r="E38" s="571">
        <v>3.1660000000000004</v>
      </c>
    </row>
    <row r="39" spans="1:17" ht="11.25" customHeight="1">
      <c r="A39" s="1143" t="s">
        <v>1141</v>
      </c>
      <c r="B39" s="1143"/>
      <c r="C39" s="553"/>
      <c r="D39" s="502"/>
      <c r="E39" s="502"/>
    </row>
    <row r="40" spans="1:17" ht="11.25" customHeight="1">
      <c r="A40" s="1173" t="s">
        <v>1124</v>
      </c>
      <c r="B40" s="1173"/>
      <c r="C40" s="553"/>
      <c r="D40" s="502">
        <v>-3</v>
      </c>
      <c r="E40" s="502">
        <v>-3</v>
      </c>
    </row>
    <row r="41" spans="1:17" ht="11.25" customHeight="1">
      <c r="A41" s="1173" t="s">
        <v>1062</v>
      </c>
      <c r="B41" s="1173"/>
      <c r="C41" s="553">
        <v>8</v>
      </c>
      <c r="D41" s="502"/>
      <c r="E41" s="502">
        <v>8</v>
      </c>
      <c r="F41" s="847"/>
      <c r="G41" s="847"/>
      <c r="H41" s="847"/>
      <c r="I41" s="847"/>
      <c r="J41" s="847"/>
      <c r="K41" s="847"/>
      <c r="L41" s="847"/>
      <c r="M41" s="847"/>
      <c r="N41" s="847"/>
      <c r="O41" s="847"/>
      <c r="P41" s="847"/>
      <c r="Q41" s="847"/>
    </row>
    <row r="42" spans="1:17" ht="11.25" customHeight="1">
      <c r="A42" s="1173" t="s">
        <v>1061</v>
      </c>
      <c r="B42" s="1173"/>
      <c r="C42" s="553">
        <v>-1</v>
      </c>
      <c r="D42" s="502"/>
      <c r="E42" s="502">
        <v>-1</v>
      </c>
      <c r="F42" s="801"/>
      <c r="G42" s="801"/>
      <c r="H42" s="801"/>
      <c r="I42" s="801"/>
      <c r="J42" s="801"/>
      <c r="K42" s="801"/>
      <c r="L42" s="801"/>
      <c r="M42" s="801"/>
      <c r="N42" s="801"/>
      <c r="O42" s="801"/>
      <c r="P42" s="801"/>
      <c r="Q42" s="801"/>
    </row>
    <row r="43" spans="1:17" ht="11.25" customHeight="1">
      <c r="A43" s="1173" t="s">
        <v>1060</v>
      </c>
      <c r="B43" s="1173"/>
      <c r="C43" s="553">
        <v>-10</v>
      </c>
      <c r="D43" s="502"/>
      <c r="E43" s="502">
        <v>-10</v>
      </c>
    </row>
    <row r="44" spans="1:17" ht="11.25" customHeight="1">
      <c r="A44" s="1125" t="s">
        <v>1034</v>
      </c>
      <c r="B44" s="1125"/>
      <c r="C44" s="553">
        <v>1</v>
      </c>
      <c r="D44" s="502">
        <v>-1</v>
      </c>
      <c r="E44" s="502"/>
    </row>
    <row r="45" spans="1:17" ht="11.25" customHeight="1">
      <c r="A45" s="1125" t="s">
        <v>1035</v>
      </c>
      <c r="B45" s="1125"/>
      <c r="C45" s="553"/>
      <c r="D45" s="502">
        <v>-10</v>
      </c>
      <c r="E45" s="502">
        <v>-10</v>
      </c>
    </row>
    <row r="46" spans="1:17" ht="11.25" customHeight="1">
      <c r="A46" s="1118" t="s">
        <v>1036</v>
      </c>
      <c r="B46" s="1118"/>
      <c r="C46" s="544">
        <v>-19</v>
      </c>
      <c r="D46" s="480">
        <v>10</v>
      </c>
      <c r="E46" s="480">
        <v>-9</v>
      </c>
    </row>
    <row r="47" spans="1:17" ht="11.25" customHeight="1">
      <c r="A47" s="1169" t="s">
        <v>1454</v>
      </c>
      <c r="B47" s="1169"/>
      <c r="C47" s="531">
        <v>307</v>
      </c>
      <c r="D47" s="531">
        <v>-154</v>
      </c>
      <c r="E47" s="531">
        <v>154</v>
      </c>
    </row>
    <row r="48" spans="1:17" ht="11.25" customHeight="1">
      <c r="A48" s="492"/>
      <c r="B48" s="518"/>
      <c r="C48" s="553"/>
      <c r="D48" s="502"/>
      <c r="E48" s="553"/>
    </row>
    <row r="49" spans="1:5" ht="11.25" customHeight="1">
      <c r="A49" s="1259" t="s">
        <v>1455</v>
      </c>
      <c r="B49" s="1259"/>
      <c r="C49" s="630">
        <v>307</v>
      </c>
      <c r="D49" s="630">
        <v>-154</v>
      </c>
      <c r="E49" s="630">
        <v>154</v>
      </c>
    </row>
    <row r="50" spans="1:5" ht="11.25" customHeight="1">
      <c r="A50" s="1263" t="s">
        <v>316</v>
      </c>
      <c r="B50" s="1263"/>
      <c r="C50" s="663">
        <v>2</v>
      </c>
      <c r="D50" s="630">
        <v>-2</v>
      </c>
      <c r="E50" s="630">
        <v>-1</v>
      </c>
    </row>
    <row r="51" spans="1:5" ht="11.25" customHeight="1">
      <c r="A51" s="1143" t="s">
        <v>1045</v>
      </c>
      <c r="B51" s="1143"/>
      <c r="C51" s="663"/>
      <c r="D51" s="630"/>
      <c r="E51" s="630"/>
    </row>
    <row r="52" spans="1:5" ht="11.25" customHeight="1">
      <c r="A52" s="1173" t="s">
        <v>1032</v>
      </c>
      <c r="B52" s="1173"/>
      <c r="C52" s="663">
        <v>10</v>
      </c>
      <c r="D52" s="630"/>
      <c r="E52" s="630">
        <v>10</v>
      </c>
    </row>
    <row r="53" spans="1:5" ht="11.25" customHeight="1">
      <c r="A53" s="1173" t="s">
        <v>1033</v>
      </c>
      <c r="B53" s="1173"/>
      <c r="C53" s="663">
        <v>-1</v>
      </c>
      <c r="D53" s="630"/>
      <c r="E53" s="630">
        <v>-1</v>
      </c>
    </row>
    <row r="54" spans="1:5" ht="11.25" customHeight="1">
      <c r="A54" s="1173" t="s">
        <v>1104</v>
      </c>
      <c r="B54" s="1173"/>
      <c r="C54" s="663">
        <v>-21</v>
      </c>
      <c r="D54" s="630">
        <v>20</v>
      </c>
      <c r="E54" s="630">
        <v>-2</v>
      </c>
    </row>
    <row r="55" spans="1:5" ht="11.25" customHeight="1">
      <c r="A55" s="1173" t="s">
        <v>1059</v>
      </c>
      <c r="B55" s="1173"/>
      <c r="C55" s="663">
        <v>5</v>
      </c>
      <c r="D55" s="630">
        <v>-3</v>
      </c>
      <c r="E55" s="630">
        <v>3</v>
      </c>
    </row>
    <row r="56" spans="1:5" ht="11.25" customHeight="1">
      <c r="A56" s="1146" t="s">
        <v>1141</v>
      </c>
      <c r="B56" s="1146"/>
      <c r="C56" s="630"/>
      <c r="D56" s="630"/>
      <c r="E56" s="630"/>
    </row>
    <row r="57" spans="1:5" ht="11.25" customHeight="1">
      <c r="A57" s="1173" t="s">
        <v>1124</v>
      </c>
      <c r="B57" s="1173"/>
      <c r="C57" s="663"/>
      <c r="D57" s="630">
        <v>11</v>
      </c>
      <c r="E57" s="630">
        <v>11</v>
      </c>
    </row>
    <row r="58" spans="1:5" ht="11.25" customHeight="1">
      <c r="A58" s="1124" t="s">
        <v>1062</v>
      </c>
      <c r="B58" s="1124"/>
      <c r="C58" s="663">
        <v>-6</v>
      </c>
      <c r="D58" s="630"/>
      <c r="E58" s="630">
        <v>-6</v>
      </c>
    </row>
    <row r="59" spans="1:5" ht="11.25" customHeight="1">
      <c r="A59" s="1124" t="s">
        <v>1060</v>
      </c>
      <c r="B59" s="1124"/>
      <c r="C59" s="630">
        <v>-2</v>
      </c>
      <c r="D59" s="630"/>
      <c r="E59" s="630">
        <v>-2</v>
      </c>
    </row>
    <row r="60" spans="1:5" ht="11.25" customHeight="1">
      <c r="A60" s="1161" t="s">
        <v>1034</v>
      </c>
      <c r="B60" s="1161"/>
      <c r="C60" s="630">
        <v>1</v>
      </c>
      <c r="D60" s="630">
        <v>-1</v>
      </c>
      <c r="E60" s="630"/>
    </row>
    <row r="61" spans="1:5" ht="11.25" customHeight="1">
      <c r="A61" s="1125" t="s">
        <v>1035</v>
      </c>
      <c r="B61" s="1125"/>
      <c r="C61" s="630"/>
      <c r="D61" s="630">
        <v>-11</v>
      </c>
      <c r="E61" s="630">
        <v>-11</v>
      </c>
    </row>
    <row r="62" spans="1:5" ht="11.25" customHeight="1">
      <c r="A62" s="1166" t="s">
        <v>1036</v>
      </c>
      <c r="B62" s="1166"/>
      <c r="C62" s="625">
        <v>-13</v>
      </c>
      <c r="D62" s="625">
        <v>5</v>
      </c>
      <c r="E62" s="625">
        <v>-8</v>
      </c>
    </row>
    <row r="63" spans="1:5" ht="11.25" customHeight="1">
      <c r="A63" s="1169" t="s">
        <v>1456</v>
      </c>
      <c r="B63" s="1169"/>
      <c r="C63" s="626">
        <v>282</v>
      </c>
      <c r="D63" s="626">
        <v>-134</v>
      </c>
      <c r="E63" s="626">
        <v>149</v>
      </c>
    </row>
    <row r="64" spans="1:5" ht="11.25" customHeight="1">
      <c r="A64" s="1262"/>
      <c r="B64" s="1262"/>
      <c r="C64" s="1262"/>
      <c r="D64" s="1262"/>
      <c r="E64" s="1262"/>
    </row>
    <row r="65" spans="1:17" ht="11.25" customHeight="1">
      <c r="A65" s="1199"/>
      <c r="B65" s="1199"/>
      <c r="C65" s="1199"/>
      <c r="D65" s="1199"/>
      <c r="E65" s="1199"/>
    </row>
    <row r="66" spans="1:17" ht="11.25" customHeight="1">
      <c r="A66" s="1269" t="s">
        <v>1039</v>
      </c>
      <c r="B66" s="1269"/>
      <c r="C66" s="1269"/>
      <c r="D66" s="1269"/>
      <c r="E66" s="1269"/>
    </row>
    <row r="67" spans="1:17" ht="11.25" customHeight="1">
      <c r="A67" s="575" t="s">
        <v>894</v>
      </c>
      <c r="B67" s="575"/>
      <c r="C67" s="576"/>
      <c r="D67" s="662">
        <v>2018</v>
      </c>
      <c r="E67" s="547">
        <v>2017</v>
      </c>
    </row>
    <row r="68" spans="1:17" ht="11.25" customHeight="1">
      <c r="A68" s="1161" t="s">
        <v>1196</v>
      </c>
      <c r="B68" s="1161"/>
      <c r="C68" s="499"/>
      <c r="D68" s="630">
        <v>17</v>
      </c>
      <c r="E68" s="502">
        <v>26</v>
      </c>
    </row>
    <row r="69" spans="1:17" ht="11.25" customHeight="1">
      <c r="A69" s="1161" t="s">
        <v>1197</v>
      </c>
      <c r="B69" s="1161"/>
      <c r="C69" s="499"/>
      <c r="D69" s="630">
        <v>33</v>
      </c>
      <c r="E69" s="502">
        <v>35</v>
      </c>
    </row>
    <row r="70" spans="1:17" ht="11.25" customHeight="1">
      <c r="A70" s="1161" t="s">
        <v>1135</v>
      </c>
      <c r="B70" s="1161"/>
      <c r="C70" s="499"/>
      <c r="D70" s="630">
        <v>17</v>
      </c>
      <c r="E70" s="502">
        <v>16</v>
      </c>
    </row>
    <row r="71" spans="1:17" ht="11.25" customHeight="1">
      <c r="A71" s="1161" t="s">
        <v>608</v>
      </c>
      <c r="B71" s="1161"/>
      <c r="C71" s="499"/>
      <c r="D71" s="630">
        <v>33</v>
      </c>
      <c r="E71" s="502">
        <v>23</v>
      </c>
    </row>
    <row r="72" spans="1:17" ht="11.25" customHeight="1">
      <c r="A72" s="239"/>
      <c r="B72" s="239"/>
      <c r="C72" s="239"/>
      <c r="D72" s="239"/>
      <c r="E72" s="239"/>
      <c r="F72" s="903"/>
      <c r="G72" s="903"/>
      <c r="H72" s="903"/>
      <c r="I72" s="903"/>
      <c r="J72" s="903"/>
      <c r="K72" s="903"/>
      <c r="L72" s="903"/>
      <c r="M72" s="903"/>
      <c r="N72" s="903"/>
      <c r="O72" s="903"/>
      <c r="P72" s="903"/>
      <c r="Q72" s="903"/>
    </row>
    <row r="73" spans="1:17" ht="11.25" customHeight="1">
      <c r="A73" s="1273"/>
      <c r="B73" s="1273"/>
      <c r="C73" s="1273"/>
      <c r="D73" s="1273"/>
      <c r="E73" s="1273"/>
    </row>
    <row r="74" spans="1:17" ht="11.25" customHeight="1">
      <c r="A74" s="1269" t="s">
        <v>1198</v>
      </c>
      <c r="B74" s="1269"/>
      <c r="C74" s="1269"/>
      <c r="D74" s="1269"/>
      <c r="E74" s="1269"/>
    </row>
    <row r="75" spans="1:17" ht="11.25" customHeight="1">
      <c r="A75" s="572" t="s">
        <v>894</v>
      </c>
      <c r="B75" s="575"/>
      <c r="C75" s="576"/>
      <c r="D75" s="662">
        <v>2018</v>
      </c>
      <c r="E75" s="547">
        <v>2017</v>
      </c>
    </row>
    <row r="76" spans="1:17" ht="11.25" customHeight="1">
      <c r="A76" s="1263" t="s">
        <v>1040</v>
      </c>
      <c r="B76" s="1263"/>
      <c r="C76" s="500"/>
      <c r="D76" s="676">
        <v>1.78</v>
      </c>
      <c r="E76" s="557">
        <v>1.65</v>
      </c>
    </row>
    <row r="77" spans="1:17" ht="11.25" customHeight="1">
      <c r="A77" s="1161" t="s">
        <v>1065</v>
      </c>
      <c r="B77" s="1161"/>
      <c r="C77" s="559"/>
      <c r="D77" s="676">
        <v>2.16</v>
      </c>
      <c r="E77" s="557">
        <v>2.15</v>
      </c>
    </row>
    <row r="78" spans="1:17" ht="11.25" customHeight="1">
      <c r="A78" s="1161" t="s">
        <v>1066</v>
      </c>
      <c r="B78" s="1161"/>
      <c r="C78" s="559"/>
      <c r="D78" s="676">
        <v>1.18</v>
      </c>
      <c r="E78" s="557">
        <v>1.1399999999999999</v>
      </c>
    </row>
    <row r="79" spans="1:17" ht="11.25" customHeight="1">
      <c r="A79" s="1271"/>
      <c r="B79" s="1271"/>
      <c r="C79" s="1271"/>
      <c r="D79" s="1271"/>
      <c r="E79" s="1271"/>
    </row>
    <row r="80" spans="1:17" ht="22.5" customHeight="1">
      <c r="A80" s="1186" t="s">
        <v>1502</v>
      </c>
      <c r="B80" s="1186"/>
      <c r="C80" s="1186"/>
      <c r="D80" s="1186"/>
      <c r="E80" s="1186"/>
    </row>
    <row r="81" spans="1:5" ht="10.5" customHeight="1">
      <c r="A81" s="1272"/>
      <c r="B81" s="1272"/>
      <c r="C81" s="1272"/>
      <c r="D81" s="1272"/>
      <c r="E81" s="1272"/>
    </row>
    <row r="82" spans="1:5" ht="23.25" customHeight="1">
      <c r="A82" s="1264" t="s">
        <v>1063</v>
      </c>
      <c r="B82" s="1264"/>
      <c r="C82" s="1264"/>
      <c r="D82" s="1264"/>
      <c r="E82" s="1264"/>
    </row>
    <row r="83" spans="1:5">
      <c r="A83" s="1264"/>
      <c r="B83" s="1264"/>
      <c r="C83" s="1264"/>
      <c r="D83" s="1264"/>
      <c r="E83" s="1264"/>
    </row>
    <row r="84" spans="1:5" ht="11.25" customHeight="1">
      <c r="A84" s="575"/>
      <c r="B84" s="575"/>
      <c r="C84" s="576"/>
      <c r="D84" s="662">
        <v>2018</v>
      </c>
      <c r="E84" s="547">
        <v>2017</v>
      </c>
    </row>
    <row r="85" spans="1:5" ht="11.25" customHeight="1">
      <c r="A85" s="1275" t="s">
        <v>1200</v>
      </c>
      <c r="B85" s="1275"/>
      <c r="C85" s="750"/>
      <c r="D85" s="676"/>
      <c r="E85" s="557"/>
    </row>
    <row r="86" spans="1:5" ht="11.25" customHeight="1">
      <c r="A86" s="1124" t="s">
        <v>1125</v>
      </c>
      <c r="B86" s="1124"/>
      <c r="C86" s="1124"/>
      <c r="D86" s="699">
        <v>17</v>
      </c>
      <c r="E86" s="600">
        <v>17.7</v>
      </c>
    </row>
    <row r="87" spans="1:5" ht="11.25" customHeight="1">
      <c r="A87" s="1124" t="s">
        <v>1126</v>
      </c>
      <c r="B87" s="1124"/>
      <c r="C87" s="1124"/>
      <c r="D87" s="699">
        <v>17.100000000000001</v>
      </c>
      <c r="E87" s="600">
        <v>19.600000000000001</v>
      </c>
    </row>
    <row r="88" spans="1:5" ht="11.25" customHeight="1">
      <c r="A88" s="1265" t="s">
        <v>1199</v>
      </c>
      <c r="B88" s="1265"/>
      <c r="C88" s="750"/>
      <c r="D88" s="699"/>
      <c r="E88" s="600"/>
    </row>
    <row r="89" spans="1:5" ht="11.25" customHeight="1">
      <c r="A89" s="1124" t="s">
        <v>1125</v>
      </c>
      <c r="B89" s="1124"/>
      <c r="C89" s="1124"/>
      <c r="D89" s="699">
        <v>16.100000000000001</v>
      </c>
      <c r="E89" s="600">
        <v>19.5</v>
      </c>
    </row>
    <row r="90" spans="1:5" ht="11.25" customHeight="1">
      <c r="A90" s="1124" t="s">
        <v>1126</v>
      </c>
      <c r="B90" s="1124"/>
      <c r="C90" s="1124"/>
      <c r="D90" s="699">
        <v>18.100000000000001</v>
      </c>
      <c r="E90" s="600">
        <v>21.9</v>
      </c>
    </row>
    <row r="91" spans="1:5" ht="11.25" customHeight="1">
      <c r="A91" s="1271"/>
      <c r="B91" s="1271"/>
      <c r="C91" s="1271"/>
      <c r="D91" s="1271"/>
      <c r="E91" s="1271"/>
    </row>
    <row r="92" spans="1:5" ht="45" customHeight="1">
      <c r="A92" s="1264" t="s">
        <v>1064</v>
      </c>
      <c r="B92" s="1264"/>
      <c r="C92" s="1264"/>
      <c r="D92" s="1264"/>
      <c r="E92" s="1264"/>
    </row>
    <row r="93" spans="1:5" ht="11.25" customHeight="1">
      <c r="A93" s="1274"/>
      <c r="B93" s="1274"/>
      <c r="C93" s="1274"/>
      <c r="D93" s="1274"/>
      <c r="E93" s="1274"/>
    </row>
    <row r="94" spans="1:5" ht="11.25" customHeight="1">
      <c r="A94" s="1196" t="s">
        <v>284</v>
      </c>
      <c r="B94" s="1196"/>
      <c r="C94" s="360"/>
      <c r="D94" s="360"/>
      <c r="E94" s="360"/>
    </row>
    <row r="95" spans="1:5" ht="33.75" customHeight="1">
      <c r="A95" s="713"/>
      <c r="B95" s="754"/>
      <c r="C95" s="360"/>
      <c r="D95" s="1270" t="s">
        <v>1127</v>
      </c>
      <c r="E95" s="1270"/>
    </row>
    <row r="96" spans="1:5" ht="22.5" customHeight="1">
      <c r="A96" s="572"/>
      <c r="B96" s="573"/>
      <c r="C96" s="577" t="s">
        <v>1038</v>
      </c>
      <c r="D96" s="677">
        <v>2018</v>
      </c>
      <c r="E96" s="585">
        <v>2017</v>
      </c>
    </row>
    <row r="97" spans="1:5" ht="11.25" customHeight="1">
      <c r="A97" s="1218" t="s">
        <v>1040</v>
      </c>
      <c r="B97" s="1218"/>
      <c r="C97" s="499" t="s">
        <v>1042</v>
      </c>
      <c r="D97" s="751" t="s">
        <v>1503</v>
      </c>
      <c r="E97" s="502">
        <v>-36</v>
      </c>
    </row>
    <row r="98" spans="1:5" ht="11.25" customHeight="1">
      <c r="A98" s="1127" t="s">
        <v>1040</v>
      </c>
      <c r="B98" s="1127"/>
      <c r="C98" s="499" t="s">
        <v>1043</v>
      </c>
      <c r="D98" s="751" t="s">
        <v>1504</v>
      </c>
      <c r="E98" s="502">
        <v>44</v>
      </c>
    </row>
    <row r="99" spans="1:5" ht="11.25" customHeight="1">
      <c r="A99" s="1159" t="s">
        <v>1065</v>
      </c>
      <c r="B99" s="1159"/>
      <c r="C99" s="499" t="s">
        <v>1042</v>
      </c>
      <c r="D99" s="751" t="s">
        <v>1505</v>
      </c>
      <c r="E99" s="502">
        <v>13</v>
      </c>
    </row>
    <row r="100" spans="1:5" ht="11.25" customHeight="1">
      <c r="A100" s="1127" t="s">
        <v>1065</v>
      </c>
      <c r="B100" s="1127"/>
      <c r="C100" s="499" t="s">
        <v>1043</v>
      </c>
      <c r="D100" s="751" t="s">
        <v>1506</v>
      </c>
      <c r="E100" s="502">
        <v>-10</v>
      </c>
    </row>
    <row r="101" spans="1:5" ht="11.25" customHeight="1">
      <c r="A101" s="1127" t="s">
        <v>1066</v>
      </c>
      <c r="B101" s="1127"/>
      <c r="C101" s="499" t="s">
        <v>1042</v>
      </c>
      <c r="D101" s="751" t="s">
        <v>1507</v>
      </c>
      <c r="E101" s="502">
        <v>28</v>
      </c>
    </row>
    <row r="102" spans="1:5" ht="11.25" customHeight="1">
      <c r="A102" s="1127" t="s">
        <v>1066</v>
      </c>
      <c r="B102" s="1127"/>
      <c r="C102" s="499" t="s">
        <v>1043</v>
      </c>
      <c r="D102" s="751" t="s">
        <v>1304</v>
      </c>
      <c r="E102" s="502">
        <v>-15</v>
      </c>
    </row>
    <row r="103" spans="1:5" ht="11.25" customHeight="1">
      <c r="A103" s="782"/>
      <c r="B103" s="781"/>
      <c r="C103" s="781"/>
      <c r="D103" s="781"/>
      <c r="E103" s="781"/>
    </row>
    <row r="104" spans="1:5" ht="11.25" customHeight="1">
      <c r="A104" s="348"/>
      <c r="B104" s="303"/>
      <c r="C104" s="360"/>
      <c r="D104" s="360"/>
      <c r="E104" s="360"/>
    </row>
    <row r="105" spans="1:5" ht="11.25" customHeight="1">
      <c r="A105" s="348"/>
      <c r="B105" s="303"/>
      <c r="C105" s="360"/>
      <c r="D105" s="360"/>
      <c r="E105" s="360"/>
    </row>
    <row r="106" spans="1:5" ht="11.25" customHeight="1">
      <c r="A106" s="348"/>
      <c r="B106" s="303"/>
      <c r="C106" s="360"/>
      <c r="D106" s="360"/>
      <c r="E106" s="360"/>
    </row>
    <row r="107" spans="1:5" ht="11.25" customHeight="1">
      <c r="A107" s="348"/>
      <c r="B107" s="303"/>
      <c r="C107" s="360"/>
      <c r="D107" s="360"/>
      <c r="E107" s="360"/>
    </row>
    <row r="108" spans="1:5" ht="11.25" customHeight="1">
      <c r="B108" s="228"/>
      <c r="C108" s="354"/>
      <c r="D108" s="354"/>
      <c r="E108" s="354"/>
    </row>
    <row r="109" spans="1:5" ht="11.25" customHeight="1">
      <c r="B109" s="228"/>
      <c r="C109" s="354"/>
      <c r="D109" s="354"/>
      <c r="E109" s="354"/>
    </row>
    <row r="110" spans="1:5" ht="11.25" customHeight="1">
      <c r="B110" s="228"/>
      <c r="C110" s="354"/>
      <c r="D110" s="354"/>
      <c r="E110" s="354"/>
    </row>
    <row r="111" spans="1:5" ht="11.25" customHeight="1">
      <c r="B111" s="228"/>
      <c r="C111" s="354"/>
      <c r="D111" s="354"/>
      <c r="E111" s="354"/>
    </row>
    <row r="112" spans="1:5" ht="11.25" customHeight="1">
      <c r="B112" s="228"/>
      <c r="C112" s="354"/>
      <c r="D112" s="354"/>
      <c r="E112" s="354"/>
    </row>
    <row r="113" spans="2:5" ht="11.25" customHeight="1">
      <c r="B113" s="228"/>
      <c r="C113" s="354"/>
      <c r="D113" s="354"/>
      <c r="E113" s="354"/>
    </row>
    <row r="114" spans="2:5" ht="11.25" customHeight="1">
      <c r="B114" s="228"/>
      <c r="C114" s="354"/>
      <c r="D114" s="354"/>
      <c r="E114" s="354"/>
    </row>
    <row r="115" spans="2:5" ht="11.25" customHeight="1">
      <c r="B115" s="228"/>
      <c r="C115" s="354"/>
      <c r="D115" s="354"/>
      <c r="E115" s="354"/>
    </row>
    <row r="116" spans="2:5" ht="11.25" customHeight="1">
      <c r="B116" s="228"/>
      <c r="C116" s="354"/>
      <c r="D116" s="354"/>
      <c r="E116" s="354"/>
    </row>
    <row r="117" spans="2:5" ht="11.25" customHeight="1">
      <c r="B117" s="228"/>
      <c r="C117" s="354"/>
      <c r="D117" s="354"/>
      <c r="E117" s="354"/>
    </row>
    <row r="118" spans="2:5" ht="11.25" customHeight="1">
      <c r="B118" s="228"/>
      <c r="C118" s="354"/>
      <c r="D118" s="354"/>
      <c r="E118" s="354"/>
    </row>
    <row r="119" spans="2:5">
      <c r="B119" s="228"/>
      <c r="C119" s="354"/>
      <c r="D119" s="354"/>
      <c r="E119" s="354"/>
    </row>
    <row r="120" spans="2:5">
      <c r="B120" s="228"/>
      <c r="C120" s="354"/>
      <c r="D120" s="354"/>
      <c r="E120" s="354"/>
    </row>
    <row r="121" spans="2:5">
      <c r="B121" s="228"/>
      <c r="C121" s="354"/>
      <c r="D121" s="354"/>
      <c r="E121" s="354"/>
    </row>
    <row r="122" spans="2:5">
      <c r="B122" s="228"/>
      <c r="C122" s="354"/>
      <c r="D122" s="354"/>
      <c r="E122" s="354"/>
    </row>
    <row r="123" spans="2:5">
      <c r="B123" s="228"/>
      <c r="C123" s="354"/>
      <c r="D123" s="354"/>
      <c r="E123" s="354"/>
    </row>
    <row r="124" spans="2:5">
      <c r="B124" s="228"/>
      <c r="C124" s="354"/>
      <c r="D124" s="354"/>
      <c r="E124" s="354"/>
    </row>
    <row r="125" spans="2:5">
      <c r="B125" s="228"/>
      <c r="C125" s="354"/>
      <c r="D125" s="354"/>
      <c r="E125" s="354"/>
    </row>
    <row r="126" spans="2:5">
      <c r="B126" s="228"/>
      <c r="C126" s="354"/>
      <c r="D126" s="354"/>
      <c r="E126" s="354"/>
    </row>
    <row r="127" spans="2:5">
      <c r="B127" s="228"/>
      <c r="C127" s="354"/>
      <c r="D127" s="354"/>
      <c r="E127" s="354"/>
    </row>
    <row r="128" spans="2:5">
      <c r="B128" s="228"/>
      <c r="C128" s="354"/>
      <c r="D128" s="354"/>
      <c r="E128" s="354"/>
    </row>
    <row r="129" spans="2:5">
      <c r="B129" s="228"/>
      <c r="C129" s="354"/>
      <c r="D129" s="354"/>
      <c r="E129" s="354"/>
    </row>
    <row r="130" spans="2:5">
      <c r="B130" s="228"/>
      <c r="C130" s="354"/>
      <c r="D130" s="354"/>
      <c r="E130" s="354"/>
    </row>
    <row r="131" spans="2:5">
      <c r="B131" s="228"/>
      <c r="C131" s="354"/>
      <c r="D131" s="354"/>
      <c r="E131" s="354"/>
    </row>
    <row r="132" spans="2:5">
      <c r="B132" s="228"/>
      <c r="C132" s="354"/>
      <c r="D132" s="354"/>
      <c r="E132" s="354"/>
    </row>
    <row r="133" spans="2:5">
      <c r="B133" s="228"/>
      <c r="C133" s="354"/>
      <c r="D133" s="354"/>
      <c r="E133" s="354"/>
    </row>
    <row r="148" spans="2:5">
      <c r="B148" s="243"/>
      <c r="C148" s="243"/>
      <c r="D148" s="243"/>
      <c r="E148" s="243"/>
    </row>
    <row r="149" spans="2:5">
      <c r="B149" s="243"/>
      <c r="C149" s="243"/>
      <c r="D149" s="243"/>
      <c r="E149" s="243"/>
    </row>
    <row r="150" spans="2:5">
      <c r="B150" s="243"/>
      <c r="C150" s="243"/>
      <c r="D150" s="243"/>
      <c r="E150" s="243"/>
    </row>
    <row r="151" spans="2:5">
      <c r="B151" s="243"/>
      <c r="C151" s="243"/>
      <c r="D151" s="243"/>
      <c r="E151" s="243"/>
    </row>
    <row r="152" spans="2:5">
      <c r="B152" s="243"/>
      <c r="C152" s="243"/>
      <c r="D152" s="243"/>
      <c r="E152" s="243"/>
    </row>
    <row r="153" spans="2:5">
      <c r="B153" s="243"/>
      <c r="C153" s="243"/>
      <c r="D153" s="243"/>
      <c r="E153" s="243"/>
    </row>
    <row r="154" spans="2:5">
      <c r="B154" s="243"/>
      <c r="C154" s="243"/>
      <c r="D154" s="243"/>
      <c r="E154" s="243"/>
    </row>
    <row r="155" spans="2:5">
      <c r="B155" s="243"/>
      <c r="C155" s="243"/>
      <c r="D155" s="243"/>
      <c r="E155" s="243"/>
    </row>
    <row r="156" spans="2:5">
      <c r="B156" s="243"/>
      <c r="C156" s="243"/>
      <c r="D156" s="243"/>
      <c r="E156" s="243"/>
    </row>
    <row r="157" spans="2:5">
      <c r="B157" s="243"/>
      <c r="C157" s="243"/>
      <c r="D157" s="243"/>
      <c r="E157" s="243"/>
    </row>
    <row r="158" spans="2:5">
      <c r="B158" s="243"/>
      <c r="C158" s="243"/>
      <c r="D158" s="243"/>
      <c r="E158" s="243"/>
    </row>
  </sheetData>
  <mergeCells count="90">
    <mergeCell ref="A5:B5"/>
    <mergeCell ref="A7:E7"/>
    <mergeCell ref="A9:E9"/>
    <mergeCell ref="A11:E11"/>
    <mergeCell ref="A17:B17"/>
    <mergeCell ref="A6:E6"/>
    <mergeCell ref="A8:E8"/>
    <mergeCell ref="A13:E13"/>
    <mergeCell ref="A26:B26"/>
    <mergeCell ref="A35:B35"/>
    <mergeCell ref="A34:B34"/>
    <mergeCell ref="A31:E31"/>
    <mergeCell ref="A23:E23"/>
    <mergeCell ref="A18:B18"/>
    <mergeCell ref="A98:B98"/>
    <mergeCell ref="A99:B99"/>
    <mergeCell ref="A100:B100"/>
    <mergeCell ref="A101:B101"/>
    <mergeCell ref="A81:E81"/>
    <mergeCell ref="A83:E83"/>
    <mergeCell ref="A73:E73"/>
    <mergeCell ref="A91:E91"/>
    <mergeCell ref="A93:E93"/>
    <mergeCell ref="A78:B78"/>
    <mergeCell ref="A86:C86"/>
    <mergeCell ref="A87:C87"/>
    <mergeCell ref="A89:C89"/>
    <mergeCell ref="A90:C90"/>
    <mergeCell ref="A85:B85"/>
    <mergeCell ref="A102:B102"/>
    <mergeCell ref="A66:E66"/>
    <mergeCell ref="A92:E92"/>
    <mergeCell ref="A94:B94"/>
    <mergeCell ref="A97:B97"/>
    <mergeCell ref="A80:E80"/>
    <mergeCell ref="A82:E82"/>
    <mergeCell ref="A68:B68"/>
    <mergeCell ref="A69:B69"/>
    <mergeCell ref="A70:B70"/>
    <mergeCell ref="A71:B71"/>
    <mergeCell ref="A74:E74"/>
    <mergeCell ref="A76:B76"/>
    <mergeCell ref="A77:B77"/>
    <mergeCell ref="D95:E95"/>
    <mergeCell ref="A79:E79"/>
    <mergeCell ref="A88:B88"/>
    <mergeCell ref="A1:E1"/>
    <mergeCell ref="A44:B44"/>
    <mergeCell ref="A45:B45"/>
    <mergeCell ref="A46:B46"/>
    <mergeCell ref="A28:B28"/>
    <mergeCell ref="A29:B29"/>
    <mergeCell ref="A32:B32"/>
    <mergeCell ref="A39:B39"/>
    <mergeCell ref="A33:B33"/>
    <mergeCell ref="A20:B20"/>
    <mergeCell ref="A21:B21"/>
    <mergeCell ref="A24:B24"/>
    <mergeCell ref="A25:B25"/>
    <mergeCell ref="A27:B27"/>
    <mergeCell ref="A3:B3"/>
    <mergeCell ref="A4:C4"/>
    <mergeCell ref="A15:E15"/>
    <mergeCell ref="A63:B63"/>
    <mergeCell ref="A51:B51"/>
    <mergeCell ref="A2:E2"/>
    <mergeCell ref="A19:B19"/>
    <mergeCell ref="A56:B56"/>
    <mergeCell ref="A37:B37"/>
    <mergeCell ref="A52:B52"/>
    <mergeCell ref="A53:B53"/>
    <mergeCell ref="A54:B54"/>
    <mergeCell ref="A55:B55"/>
    <mergeCell ref="A57:B57"/>
    <mergeCell ref="A58:B58"/>
    <mergeCell ref="A59:B59"/>
    <mergeCell ref="A60:B60"/>
    <mergeCell ref="A61:B61"/>
    <mergeCell ref="A64:E64"/>
    <mergeCell ref="A65:E65"/>
    <mergeCell ref="A50:B50"/>
    <mergeCell ref="A62:B62"/>
    <mergeCell ref="A47:B47"/>
    <mergeCell ref="A49:B49"/>
    <mergeCell ref="A36:B36"/>
    <mergeCell ref="A43:B43"/>
    <mergeCell ref="A42:B42"/>
    <mergeCell ref="A41:B41"/>
    <mergeCell ref="A40:B40"/>
    <mergeCell ref="A38:B38"/>
  </mergeCells>
  <phoneticPr fontId="0" type="noConversion"/>
  <pageMargins left="0.75" right="0.75" top="1" bottom="1" header="0.5" footer="0.5"/>
  <pageSetup paperSize="9" scale="84" orientation="portrait" r:id="rId1"/>
  <headerFooter alignWithMargins="0"/>
  <rowBreaks count="2" manualBreakCount="2">
    <brk id="31" max="4" man="1"/>
    <brk id="81" max="4" man="1"/>
  </rowBreaks>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8"/>
  <dimension ref="A1:Q52"/>
  <sheetViews>
    <sheetView zoomScaleNormal="100" workbookViewId="0">
      <selection sqref="A1:E1"/>
    </sheetView>
  </sheetViews>
  <sheetFormatPr defaultColWidth="8.7109375" defaultRowHeight="10.199999999999999"/>
  <cols>
    <col min="1" max="1" width="76.7109375" style="286" customWidth="1"/>
    <col min="2" max="5" width="13.28515625" style="232" customWidth="1"/>
    <col min="6" max="17" width="3.7109375" style="205" customWidth="1"/>
    <col min="18" max="16384" width="8.7109375" style="1079"/>
  </cols>
  <sheetData>
    <row r="1" spans="1:17" ht="15.75" customHeight="1">
      <c r="A1" s="1151" t="s">
        <v>1385</v>
      </c>
      <c r="B1" s="1151"/>
      <c r="C1" s="1151"/>
      <c r="D1" s="1151"/>
      <c r="E1" s="1151"/>
    </row>
    <row r="2" spans="1:17" ht="11.25" customHeight="1">
      <c r="A2" s="380"/>
      <c r="B2" s="278"/>
      <c r="C2" s="278"/>
      <c r="D2" s="278"/>
      <c r="E2" s="278"/>
    </row>
    <row r="3" spans="1:17" ht="22.5" customHeight="1">
      <c r="A3" s="1148" t="s">
        <v>1226</v>
      </c>
      <c r="B3" s="1148"/>
      <c r="C3" s="1148"/>
      <c r="D3" s="1148"/>
      <c r="E3" s="1148"/>
    </row>
    <row r="4" spans="1:17" ht="11.25" customHeight="1">
      <c r="A4" s="325"/>
      <c r="B4" s="614"/>
      <c r="C4" s="614"/>
      <c r="D4" s="614"/>
      <c r="E4" s="614"/>
    </row>
    <row r="5" spans="1:17" ht="12.75" customHeight="1">
      <c r="A5" s="1189" t="s">
        <v>926</v>
      </c>
      <c r="B5" s="1189"/>
      <c r="C5" s="1189"/>
      <c r="D5" s="1189"/>
      <c r="E5" s="1189"/>
    </row>
    <row r="6" spans="1:17" ht="11.25" customHeight="1">
      <c r="A6" s="710"/>
      <c r="B6" s="353"/>
      <c r="C6" s="353"/>
      <c r="D6" s="353"/>
      <c r="E6" s="353"/>
    </row>
    <row r="7" spans="1:17" ht="11.25" customHeight="1">
      <c r="A7" s="537" t="s">
        <v>740</v>
      </c>
      <c r="B7" s="576"/>
      <c r="C7" s="576"/>
      <c r="D7" s="576"/>
      <c r="E7" s="576"/>
    </row>
    <row r="8" spans="1:17" ht="33.75" customHeight="1">
      <c r="A8" s="537" t="s">
        <v>618</v>
      </c>
      <c r="B8" s="568" t="s">
        <v>964</v>
      </c>
      <c r="C8" s="568" t="s">
        <v>29</v>
      </c>
      <c r="D8" s="568" t="s">
        <v>238</v>
      </c>
      <c r="E8" s="568" t="s">
        <v>686</v>
      </c>
    </row>
    <row r="9" spans="1:17" ht="11.25" customHeight="1">
      <c r="A9" s="556" t="s">
        <v>1229</v>
      </c>
      <c r="B9" s="502">
        <v>197241130</v>
      </c>
      <c r="C9" s="502">
        <v>336</v>
      </c>
      <c r="D9" s="502">
        <v>61</v>
      </c>
      <c r="E9" s="502">
        <v>397</v>
      </c>
    </row>
    <row r="10" spans="1:17" ht="11.25" customHeight="1">
      <c r="A10" s="983" t="s">
        <v>1230</v>
      </c>
      <c r="B10" s="553">
        <v>197241130</v>
      </c>
      <c r="C10" s="553">
        <v>336</v>
      </c>
      <c r="D10" s="553">
        <v>61</v>
      </c>
      <c r="E10" s="553">
        <v>397</v>
      </c>
    </row>
    <row r="11" spans="1:17" ht="11.25" customHeight="1">
      <c r="A11" s="979" t="s">
        <v>1425</v>
      </c>
      <c r="B11" s="544">
        <v>394482260</v>
      </c>
      <c r="C11" s="544"/>
      <c r="D11" s="544"/>
      <c r="E11" s="544"/>
      <c r="F11" s="996"/>
      <c r="G11" s="996"/>
      <c r="H11" s="996"/>
      <c r="I11" s="996"/>
      <c r="J11" s="996"/>
      <c r="K11" s="996"/>
      <c r="L11" s="996"/>
      <c r="M11" s="996"/>
      <c r="N11" s="996"/>
      <c r="O11" s="996"/>
      <c r="P11" s="996"/>
      <c r="Q11" s="996"/>
    </row>
    <row r="12" spans="1:17" ht="11.25" customHeight="1">
      <c r="A12" s="536" t="s">
        <v>1356</v>
      </c>
      <c r="B12" s="531">
        <v>591723390</v>
      </c>
      <c r="C12" s="531">
        <v>336</v>
      </c>
      <c r="D12" s="531">
        <v>61</v>
      </c>
      <c r="E12" s="531">
        <v>397</v>
      </c>
    </row>
    <row r="13" spans="1:17" ht="11.25" customHeight="1">
      <c r="A13" s="293"/>
      <c r="B13" s="295"/>
      <c r="C13" s="295"/>
      <c r="D13" s="295"/>
      <c r="E13" s="295"/>
    </row>
    <row r="14" spans="1:17" ht="18.600000000000001" customHeight="1">
      <c r="A14" s="1148" t="s">
        <v>1558</v>
      </c>
      <c r="B14" s="1148"/>
      <c r="C14" s="1148"/>
      <c r="D14" s="1148"/>
      <c r="E14" s="1148"/>
    </row>
    <row r="15" spans="1:17" ht="12" customHeight="1">
      <c r="A15" s="417"/>
      <c r="B15" s="417"/>
      <c r="C15" s="417"/>
      <c r="D15" s="417"/>
      <c r="E15" s="417"/>
    </row>
    <row r="16" spans="1:17" ht="12" customHeight="1">
      <c r="A16" s="1255" t="s">
        <v>618</v>
      </c>
      <c r="B16" s="1255"/>
      <c r="C16" s="1255"/>
      <c r="D16" s="1255"/>
      <c r="E16" s="1255"/>
    </row>
    <row r="17" spans="1:17" ht="12" customHeight="1">
      <c r="A17" s="942"/>
      <c r="B17" s="942"/>
      <c r="C17" s="942"/>
      <c r="D17" s="942"/>
      <c r="E17" s="942"/>
      <c r="F17" s="944"/>
      <c r="G17" s="944"/>
      <c r="H17" s="944"/>
      <c r="I17" s="944"/>
      <c r="J17" s="944"/>
      <c r="K17" s="944"/>
      <c r="L17" s="944"/>
      <c r="M17" s="944"/>
      <c r="N17" s="944"/>
      <c r="O17" s="944"/>
      <c r="P17" s="944"/>
      <c r="Q17" s="944"/>
    </row>
    <row r="18" spans="1:17" ht="21" customHeight="1">
      <c r="A18" s="1188" t="s">
        <v>1096</v>
      </c>
      <c r="B18" s="1188"/>
      <c r="C18" s="1188"/>
      <c r="D18" s="1188"/>
      <c r="E18" s="1188"/>
    </row>
    <row r="19" spans="1:17" ht="11.25" customHeight="1">
      <c r="A19" s="293"/>
      <c r="B19" s="295"/>
      <c r="C19" s="295"/>
      <c r="D19" s="295"/>
      <c r="E19" s="295"/>
    </row>
    <row r="20" spans="1:17" ht="11.25" customHeight="1">
      <c r="A20" s="1189" t="s">
        <v>612</v>
      </c>
      <c r="B20" s="1189"/>
      <c r="C20" s="1189"/>
      <c r="D20" s="1189"/>
      <c r="E20" s="1189"/>
    </row>
    <row r="21" spans="1:17" ht="11.25" customHeight="1">
      <c r="A21" s="942"/>
      <c r="B21" s="942"/>
      <c r="C21" s="942"/>
      <c r="D21" s="942"/>
      <c r="E21" s="942"/>
      <c r="F21" s="944"/>
      <c r="G21" s="944"/>
      <c r="H21" s="944"/>
      <c r="I21" s="944"/>
      <c r="J21" s="944"/>
      <c r="K21" s="944"/>
      <c r="L21" s="944"/>
      <c r="M21" s="944"/>
      <c r="N21" s="944"/>
      <c r="O21" s="944"/>
      <c r="P21" s="944"/>
      <c r="Q21" s="944"/>
    </row>
    <row r="22" spans="1:17" ht="21.6" customHeight="1">
      <c r="A22" s="1187" t="s">
        <v>1624</v>
      </c>
      <c r="B22" s="1187"/>
      <c r="C22" s="1187"/>
      <c r="D22" s="1187"/>
      <c r="E22" s="1187"/>
    </row>
    <row r="23" spans="1:17" ht="11.25" customHeight="1">
      <c r="A23" s="293"/>
      <c r="B23" s="295"/>
      <c r="C23" s="295"/>
      <c r="D23" s="295"/>
      <c r="E23" s="295"/>
    </row>
    <row r="24" spans="1:17" ht="11.25" customHeight="1">
      <c r="A24" s="1189" t="s">
        <v>375</v>
      </c>
      <c r="B24" s="1189"/>
      <c r="C24" s="1189"/>
      <c r="D24" s="1189"/>
      <c r="E24" s="1189"/>
    </row>
    <row r="25" spans="1:17" ht="11.25" customHeight="1">
      <c r="A25" s="942"/>
      <c r="B25" s="942"/>
      <c r="C25" s="942"/>
      <c r="D25" s="942"/>
      <c r="E25" s="942"/>
      <c r="F25" s="944"/>
      <c r="G25" s="944"/>
      <c r="H25" s="944"/>
      <c r="I25" s="944"/>
      <c r="J25" s="944"/>
      <c r="K25" s="944"/>
      <c r="L25" s="944"/>
      <c r="M25" s="944"/>
      <c r="N25" s="944"/>
      <c r="O25" s="944"/>
      <c r="P25" s="944"/>
      <c r="Q25" s="944"/>
    </row>
    <row r="26" spans="1:17" ht="45.6" customHeight="1">
      <c r="A26" s="1188" t="s">
        <v>1567</v>
      </c>
      <c r="B26" s="1188"/>
      <c r="C26" s="1188"/>
      <c r="D26" s="1188"/>
      <c r="E26" s="1188"/>
    </row>
    <row r="27" spans="1:17" ht="11.25" customHeight="1">
      <c r="A27" s="332"/>
      <c r="B27" s="281"/>
      <c r="C27" s="281"/>
      <c r="D27" s="281"/>
      <c r="E27" s="281"/>
    </row>
    <row r="28" spans="1:17">
      <c r="A28" s="1189" t="s">
        <v>335</v>
      </c>
      <c r="B28" s="1189"/>
      <c r="C28" s="1189"/>
      <c r="D28" s="1189"/>
      <c r="E28" s="1189"/>
    </row>
    <row r="29" spans="1:17">
      <c r="A29" s="942"/>
      <c r="B29" s="942"/>
      <c r="C29" s="942"/>
      <c r="D29" s="942"/>
      <c r="E29" s="942"/>
      <c r="F29" s="944"/>
      <c r="G29" s="944"/>
      <c r="H29" s="944"/>
      <c r="I29" s="944"/>
      <c r="J29" s="944"/>
      <c r="K29" s="944"/>
      <c r="L29" s="944"/>
      <c r="M29" s="944"/>
      <c r="N29" s="944"/>
      <c r="O29" s="944"/>
      <c r="P29" s="944"/>
      <c r="Q29" s="944"/>
    </row>
    <row r="30" spans="1:17" ht="22.5" customHeight="1">
      <c r="A30" s="1188" t="s">
        <v>1338</v>
      </c>
      <c r="B30" s="1188"/>
      <c r="C30" s="1188"/>
      <c r="D30" s="1188"/>
      <c r="E30" s="1188"/>
    </row>
    <row r="31" spans="1:17">
      <c r="A31" s="711"/>
      <c r="B31" s="221"/>
      <c r="C31" s="318"/>
      <c r="D31" s="318"/>
      <c r="E31" s="318"/>
    </row>
    <row r="32" spans="1:17" ht="22.5" customHeight="1">
      <c r="A32" s="537" t="s">
        <v>740</v>
      </c>
      <c r="B32" s="576"/>
      <c r="C32" s="577"/>
      <c r="D32" s="577"/>
      <c r="E32" s="673" t="s">
        <v>927</v>
      </c>
    </row>
    <row r="33" spans="1:17">
      <c r="A33" s="1161" t="s">
        <v>1450</v>
      </c>
      <c r="B33" s="1161"/>
      <c r="C33" s="502"/>
      <c r="D33" s="502"/>
      <c r="E33" s="663">
        <v>-50</v>
      </c>
    </row>
    <row r="34" spans="1:17">
      <c r="A34" s="1118" t="s">
        <v>1142</v>
      </c>
      <c r="B34" s="1118"/>
      <c r="C34" s="544"/>
      <c r="D34" s="544"/>
      <c r="E34" s="664">
        <v>12</v>
      </c>
    </row>
    <row r="35" spans="1:17">
      <c r="A35" s="1146" t="s">
        <v>1451</v>
      </c>
      <c r="B35" s="1146"/>
      <c r="C35" s="502"/>
      <c r="D35" s="502"/>
      <c r="E35" s="663">
        <v>-39</v>
      </c>
    </row>
    <row r="36" spans="1:17">
      <c r="A36" s="1161" t="s">
        <v>512</v>
      </c>
      <c r="B36" s="1161"/>
      <c r="C36" s="502"/>
      <c r="D36" s="502"/>
      <c r="E36" s="663">
        <v>28</v>
      </c>
    </row>
    <row r="37" spans="1:17">
      <c r="A37" s="1161" t="s">
        <v>843</v>
      </c>
      <c r="B37" s="1161"/>
      <c r="C37" s="502"/>
      <c r="D37" s="502"/>
      <c r="E37" s="663">
        <v>1</v>
      </c>
    </row>
    <row r="38" spans="1:17">
      <c r="A38" s="1118" t="s">
        <v>1142</v>
      </c>
      <c r="B38" s="1118"/>
      <c r="C38" s="544"/>
      <c r="D38" s="544"/>
      <c r="E38" s="664">
        <v>-1</v>
      </c>
    </row>
    <row r="39" spans="1:17">
      <c r="A39" s="1146" t="s">
        <v>1303</v>
      </c>
      <c r="B39" s="1146"/>
      <c r="C39" s="502"/>
      <c r="D39" s="502"/>
      <c r="E39" s="663">
        <v>-10</v>
      </c>
    </row>
    <row r="40" spans="1:17">
      <c r="A40" s="1161" t="s">
        <v>512</v>
      </c>
      <c r="B40" s="1161"/>
      <c r="C40" s="502"/>
      <c r="D40" s="502"/>
      <c r="E40" s="663">
        <v>-6</v>
      </c>
    </row>
    <row r="41" spans="1:17">
      <c r="A41" s="1161" t="s">
        <v>843</v>
      </c>
      <c r="B41" s="1161"/>
      <c r="C41" s="502"/>
      <c r="D41" s="502"/>
      <c r="E41" s="663">
        <v>-17</v>
      </c>
    </row>
    <row r="42" spans="1:17">
      <c r="A42" s="1118" t="s">
        <v>1142</v>
      </c>
      <c r="B42" s="1118"/>
      <c r="C42" s="544"/>
      <c r="D42" s="544"/>
      <c r="E42" s="664">
        <v>3</v>
      </c>
    </row>
    <row r="43" spans="1:17">
      <c r="A43" s="1169" t="s">
        <v>1452</v>
      </c>
      <c r="B43" s="1169"/>
      <c r="C43" s="526"/>
      <c r="D43" s="526"/>
      <c r="E43" s="920">
        <v>-31</v>
      </c>
    </row>
    <row r="45" spans="1:17">
      <c r="A45" s="1189" t="s">
        <v>992</v>
      </c>
      <c r="B45" s="1189"/>
      <c r="C45" s="1189"/>
      <c r="D45" s="1189"/>
      <c r="E45" s="1189"/>
    </row>
    <row r="46" spans="1:17">
      <c r="A46" s="942"/>
      <c r="B46" s="942"/>
      <c r="C46" s="942"/>
      <c r="D46" s="942"/>
      <c r="E46" s="942"/>
      <c r="F46" s="944"/>
      <c r="G46" s="944"/>
      <c r="H46" s="944"/>
      <c r="I46" s="944"/>
      <c r="J46" s="944"/>
      <c r="K46" s="944"/>
      <c r="L46" s="944"/>
      <c r="M46" s="944"/>
      <c r="N46" s="944"/>
      <c r="O46" s="944"/>
      <c r="P46" s="944"/>
      <c r="Q46" s="944"/>
    </row>
    <row r="47" spans="1:17" ht="42" customHeight="1">
      <c r="A47" s="1188" t="s">
        <v>1612</v>
      </c>
      <c r="B47" s="1188"/>
      <c r="C47" s="1188"/>
      <c r="D47" s="1188"/>
      <c r="E47" s="1188"/>
    </row>
    <row r="48" spans="1:17" ht="11.25" customHeight="1">
      <c r="B48" s="286"/>
      <c r="C48" s="286"/>
      <c r="D48" s="286"/>
      <c r="E48" s="286"/>
    </row>
    <row r="49" spans="1:5">
      <c r="A49" s="1188" t="s">
        <v>1348</v>
      </c>
      <c r="B49" s="1188"/>
      <c r="C49" s="1188"/>
      <c r="D49" s="1188"/>
      <c r="E49" s="1188"/>
    </row>
    <row r="52" spans="1:5">
      <c r="C52" s="377"/>
    </row>
  </sheetData>
  <mergeCells count="26">
    <mergeCell ref="A1:E1"/>
    <mergeCell ref="A5:E5"/>
    <mergeCell ref="A3:E3"/>
    <mergeCell ref="A30:E30"/>
    <mergeCell ref="A45:E45"/>
    <mergeCell ref="A42:B42"/>
    <mergeCell ref="A43:B43"/>
    <mergeCell ref="A20:E20"/>
    <mergeCell ref="A22:E22"/>
    <mergeCell ref="A16:E16"/>
    <mergeCell ref="A18:E18"/>
    <mergeCell ref="A49:E49"/>
    <mergeCell ref="A47:E47"/>
    <mergeCell ref="A24:E24"/>
    <mergeCell ref="A26:E26"/>
    <mergeCell ref="A14:E14"/>
    <mergeCell ref="A28:E28"/>
    <mergeCell ref="A33:B33"/>
    <mergeCell ref="A34:B34"/>
    <mergeCell ref="A35:B35"/>
    <mergeCell ref="A36:B36"/>
    <mergeCell ref="A37:B37"/>
    <mergeCell ref="A38:B38"/>
    <mergeCell ref="A39:B39"/>
    <mergeCell ref="A40:B40"/>
    <mergeCell ref="A41:B41"/>
  </mergeCells>
  <phoneticPr fontId="0" type="noConversion"/>
  <pageMargins left="0.75" right="0.75" top="1" bottom="1" header="0.5" footer="0.5"/>
  <pageSetup scale="87" orientation="portrait" horizontalDpi="300" r:id="rId1"/>
  <headerFooter alignWithMargins="0"/>
  <colBreaks count="1" manualBreakCount="1">
    <brk id="5" max="36" man="1"/>
  </colBreaks>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Q33"/>
  <sheetViews>
    <sheetView zoomScaleNormal="100" workbookViewId="0">
      <selection sqref="A1:G1"/>
    </sheetView>
  </sheetViews>
  <sheetFormatPr defaultColWidth="8.7109375" defaultRowHeight="10.199999999999999"/>
  <cols>
    <col min="1" max="1" width="50" style="286" customWidth="1"/>
    <col min="2" max="7" width="13.28515625" style="232" customWidth="1"/>
    <col min="8" max="17" width="3.7109375" style="205" customWidth="1"/>
    <col min="18" max="16384" width="8.7109375" style="1079"/>
  </cols>
  <sheetData>
    <row r="1" spans="1:17" ht="15.6">
      <c r="A1" s="1151" t="s">
        <v>1386</v>
      </c>
      <c r="B1" s="1245"/>
      <c r="C1" s="1245"/>
      <c r="D1" s="1245"/>
      <c r="E1" s="1245"/>
      <c r="F1" s="1245"/>
      <c r="G1" s="1245"/>
    </row>
    <row r="2" spans="1:17" ht="11.25" customHeight="1">
      <c r="A2" s="376"/>
      <c r="B2" s="385"/>
      <c r="C2" s="385"/>
      <c r="D2" s="385"/>
      <c r="E2" s="385"/>
      <c r="F2" s="385"/>
      <c r="G2" s="385"/>
    </row>
    <row r="3" spans="1:17">
      <c r="A3" s="317">
        <v>2018</v>
      </c>
      <c r="B3" s="262"/>
      <c r="C3" s="262"/>
      <c r="D3" s="262"/>
      <c r="E3" s="262"/>
      <c r="F3" s="262"/>
      <c r="G3" s="262"/>
    </row>
    <row r="4" spans="1:17">
      <c r="A4" s="1014"/>
      <c r="B4" s="262"/>
      <c r="C4" s="262"/>
      <c r="D4" s="262"/>
      <c r="E4" s="262"/>
      <c r="F4" s="262"/>
      <c r="G4" s="262"/>
      <c r="H4" s="1012"/>
      <c r="I4" s="1012"/>
      <c r="J4" s="1012"/>
      <c r="K4" s="1012"/>
      <c r="L4" s="1012"/>
      <c r="M4" s="1012"/>
      <c r="N4" s="1012"/>
      <c r="O4" s="1012"/>
      <c r="P4" s="1012"/>
      <c r="Q4" s="1012"/>
    </row>
    <row r="5" spans="1:17" ht="33.75" customHeight="1">
      <c r="A5" s="381" t="s">
        <v>740</v>
      </c>
      <c r="B5" s="678" t="s">
        <v>755</v>
      </c>
      <c r="C5" s="678" t="s">
        <v>754</v>
      </c>
      <c r="D5" s="678" t="s">
        <v>756</v>
      </c>
      <c r="E5" s="678" t="s">
        <v>757</v>
      </c>
      <c r="F5" s="678" t="s">
        <v>929</v>
      </c>
      <c r="G5" s="678" t="s">
        <v>620</v>
      </c>
    </row>
    <row r="6" spans="1:17">
      <c r="A6" s="556" t="s">
        <v>1431</v>
      </c>
      <c r="B6" s="670">
        <v>19</v>
      </c>
      <c r="C6" s="670">
        <v>173</v>
      </c>
      <c r="D6" s="670">
        <v>27</v>
      </c>
      <c r="E6" s="670">
        <v>6</v>
      </c>
      <c r="F6" s="670">
        <v>35</v>
      </c>
      <c r="G6" s="670">
        <v>261</v>
      </c>
    </row>
    <row r="7" spans="1:17">
      <c r="A7" s="556" t="s">
        <v>1051</v>
      </c>
      <c r="B7" s="670"/>
      <c r="C7" s="670">
        <v>1</v>
      </c>
      <c r="D7" s="670">
        <v>1</v>
      </c>
      <c r="E7" s="670">
        <v>1</v>
      </c>
      <c r="F7" s="670"/>
      <c r="G7" s="670">
        <v>3</v>
      </c>
    </row>
    <row r="8" spans="1:17">
      <c r="A8" s="556" t="s">
        <v>841</v>
      </c>
      <c r="B8" s="670">
        <v>12</v>
      </c>
      <c r="C8" s="670">
        <v>60</v>
      </c>
      <c r="D8" s="670">
        <v>107</v>
      </c>
      <c r="E8" s="670">
        <v>9</v>
      </c>
      <c r="F8" s="670">
        <v>11</v>
      </c>
      <c r="G8" s="670">
        <v>198</v>
      </c>
    </row>
    <row r="9" spans="1:17">
      <c r="A9" s="556" t="s">
        <v>514</v>
      </c>
      <c r="B9" s="670">
        <v>-2</v>
      </c>
      <c r="C9" s="670">
        <v>-62</v>
      </c>
      <c r="D9" s="670">
        <v>-64</v>
      </c>
      <c r="E9" s="670">
        <v>-6</v>
      </c>
      <c r="F9" s="670">
        <v>-5</v>
      </c>
      <c r="G9" s="670">
        <v>-138</v>
      </c>
    </row>
    <row r="10" spans="1:17">
      <c r="A10" s="532" t="s">
        <v>515</v>
      </c>
      <c r="B10" s="625">
        <v>-9</v>
      </c>
      <c r="C10" s="956"/>
      <c r="D10" s="625">
        <v>-5</v>
      </c>
      <c r="E10" s="625">
        <v>-4</v>
      </c>
      <c r="F10" s="625">
        <v>-4</v>
      </c>
      <c r="G10" s="625">
        <v>-21</v>
      </c>
    </row>
    <row r="11" spans="1:17">
      <c r="A11" s="538" t="s">
        <v>1432</v>
      </c>
      <c r="B11" s="626">
        <v>21</v>
      </c>
      <c r="C11" s="626">
        <v>172</v>
      </c>
      <c r="D11" s="626">
        <v>67</v>
      </c>
      <c r="E11" s="626">
        <v>7</v>
      </c>
      <c r="F11" s="671">
        <v>38</v>
      </c>
      <c r="G11" s="626">
        <v>305</v>
      </c>
    </row>
    <row r="12" spans="1:17">
      <c r="A12" s="580"/>
      <c r="B12" s="679"/>
      <c r="C12" s="679"/>
      <c r="D12" s="679"/>
      <c r="E12" s="679"/>
      <c r="F12" s="679"/>
      <c r="G12" s="679"/>
    </row>
    <row r="13" spans="1:17">
      <c r="A13" s="708" t="s">
        <v>442</v>
      </c>
      <c r="B13" s="669"/>
      <c r="C13" s="669"/>
      <c r="D13" s="669"/>
      <c r="E13" s="669"/>
      <c r="F13" s="669"/>
      <c r="G13" s="670">
        <v>54</v>
      </c>
    </row>
    <row r="14" spans="1:17">
      <c r="A14" s="708" t="s">
        <v>443</v>
      </c>
      <c r="B14" s="669"/>
      <c r="C14" s="669"/>
      <c r="D14" s="669"/>
      <c r="E14" s="669"/>
      <c r="F14" s="669"/>
      <c r="G14" s="670">
        <v>251</v>
      </c>
    </row>
    <row r="15" spans="1:17">
      <c r="A15" s="355"/>
      <c r="B15" s="259"/>
      <c r="C15" s="259"/>
      <c r="D15" s="259"/>
      <c r="E15" s="259"/>
      <c r="F15" s="259"/>
      <c r="G15" s="259"/>
    </row>
    <row r="16" spans="1:17">
      <c r="A16" s="317">
        <v>2017</v>
      </c>
      <c r="B16" s="221"/>
      <c r="C16" s="221"/>
      <c r="D16" s="221"/>
      <c r="E16" s="221"/>
      <c r="F16" s="221"/>
      <c r="G16" s="221"/>
    </row>
    <row r="17" spans="1:17">
      <c r="A17" s="1014"/>
      <c r="B17" s="221"/>
      <c r="C17" s="221"/>
      <c r="D17" s="221"/>
      <c r="E17" s="221"/>
      <c r="F17" s="221"/>
      <c r="G17" s="221"/>
      <c r="H17" s="1012"/>
      <c r="I17" s="1012"/>
      <c r="J17" s="1012"/>
      <c r="K17" s="1012"/>
      <c r="L17" s="1012"/>
      <c r="M17" s="1012"/>
      <c r="N17" s="1012"/>
      <c r="O17" s="1012"/>
      <c r="P17" s="1012"/>
      <c r="Q17" s="1012"/>
    </row>
    <row r="18" spans="1:17">
      <c r="A18" s="1014"/>
      <c r="B18" s="221"/>
      <c r="C18" s="221"/>
      <c r="D18" s="221"/>
      <c r="E18" s="221"/>
      <c r="F18" s="221"/>
      <c r="G18" s="1001" t="s">
        <v>1025</v>
      </c>
      <c r="H18" s="1012"/>
      <c r="I18" s="1012"/>
      <c r="J18" s="1012"/>
      <c r="K18" s="1012"/>
      <c r="L18" s="1012"/>
      <c r="M18" s="1012"/>
      <c r="N18" s="1012"/>
      <c r="O18" s="1012"/>
      <c r="P18" s="1012"/>
      <c r="Q18" s="1012"/>
    </row>
    <row r="19" spans="1:17" ht="33" customHeight="1">
      <c r="A19" s="381" t="s">
        <v>740</v>
      </c>
      <c r="B19" s="382" t="s">
        <v>755</v>
      </c>
      <c r="C19" s="382" t="s">
        <v>754</v>
      </c>
      <c r="D19" s="382" t="s">
        <v>756</v>
      </c>
      <c r="E19" s="382" t="s">
        <v>757</v>
      </c>
      <c r="F19" s="382" t="s">
        <v>929</v>
      </c>
      <c r="G19" s="382" t="s">
        <v>620</v>
      </c>
    </row>
    <row r="20" spans="1:17">
      <c r="A20" s="556" t="s">
        <v>1310</v>
      </c>
      <c r="B20" s="502">
        <v>17</v>
      </c>
      <c r="C20" s="502">
        <v>170</v>
      </c>
      <c r="D20" s="502">
        <v>17</v>
      </c>
      <c r="E20" s="502">
        <v>18</v>
      </c>
      <c r="F20" s="502">
        <v>29</v>
      </c>
      <c r="G20" s="502">
        <v>250</v>
      </c>
    </row>
    <row r="21" spans="1:17">
      <c r="A21" s="845" t="s">
        <v>513</v>
      </c>
      <c r="B21" s="502"/>
      <c r="C21" s="502">
        <v>-2</v>
      </c>
      <c r="D21" s="502">
        <v>-1</v>
      </c>
      <c r="E21" s="502"/>
      <c r="F21" s="502">
        <v>-1</v>
      </c>
      <c r="G21" s="502">
        <v>-4</v>
      </c>
    </row>
    <row r="22" spans="1:17">
      <c r="A22" s="1066" t="s">
        <v>1051</v>
      </c>
      <c r="B22" s="502"/>
      <c r="C22" s="502">
        <v>1</v>
      </c>
      <c r="D22" s="502">
        <v>5</v>
      </c>
      <c r="E22" s="502"/>
      <c r="F22" s="502"/>
      <c r="G22" s="502">
        <v>6</v>
      </c>
      <c r="H22" s="1067"/>
      <c r="I22" s="1067"/>
      <c r="J22" s="1067"/>
      <c r="K22" s="1067"/>
      <c r="L22" s="1067"/>
      <c r="M22" s="1067"/>
      <c r="N22" s="1067"/>
      <c r="O22" s="1067"/>
      <c r="P22" s="1067"/>
      <c r="Q22" s="1067"/>
    </row>
    <row r="23" spans="1:17" ht="11.25" customHeight="1">
      <c r="A23" s="556" t="s">
        <v>841</v>
      </c>
      <c r="B23" s="502">
        <v>10</v>
      </c>
      <c r="C23" s="502">
        <v>57</v>
      </c>
      <c r="D23" s="502">
        <v>20</v>
      </c>
      <c r="E23" s="502">
        <v>6</v>
      </c>
      <c r="F23" s="502">
        <v>11</v>
      </c>
      <c r="G23" s="502">
        <v>104</v>
      </c>
    </row>
    <row r="24" spans="1:17">
      <c r="A24" s="556" t="s">
        <v>514</v>
      </c>
      <c r="B24" s="502">
        <v>-2</v>
      </c>
      <c r="C24" s="502">
        <v>-52</v>
      </c>
      <c r="D24" s="502">
        <v>-10</v>
      </c>
      <c r="E24" s="502">
        <v>-17</v>
      </c>
      <c r="F24" s="502">
        <v>-3</v>
      </c>
      <c r="G24" s="502">
        <v>-84</v>
      </c>
    </row>
    <row r="25" spans="1:17">
      <c r="A25" s="532" t="s">
        <v>515</v>
      </c>
      <c r="B25" s="480">
        <v>-6</v>
      </c>
      <c r="C25" s="480"/>
      <c r="D25" s="480">
        <v>-3</v>
      </c>
      <c r="E25" s="480"/>
      <c r="F25" s="480">
        <v>-1</v>
      </c>
      <c r="G25" s="480">
        <v>-10</v>
      </c>
    </row>
    <row r="26" spans="1:17">
      <c r="A26" s="538" t="s">
        <v>1311</v>
      </c>
      <c r="B26" s="526">
        <v>19</v>
      </c>
      <c r="C26" s="526">
        <v>173</v>
      </c>
      <c r="D26" s="526">
        <v>27</v>
      </c>
      <c r="E26" s="526">
        <v>6</v>
      </c>
      <c r="F26" s="526">
        <v>35</v>
      </c>
      <c r="G26" s="526">
        <v>261</v>
      </c>
    </row>
    <row r="27" spans="1:17">
      <c r="A27" s="580"/>
      <c r="B27" s="581"/>
      <c r="C27" s="581"/>
      <c r="D27" s="581"/>
      <c r="E27" s="581"/>
      <c r="F27" s="581"/>
      <c r="G27" s="581"/>
    </row>
    <row r="28" spans="1:17">
      <c r="A28" s="708" t="s">
        <v>442</v>
      </c>
      <c r="B28" s="499"/>
      <c r="C28" s="499"/>
      <c r="D28" s="499"/>
      <c r="E28" s="499"/>
      <c r="F28" s="499"/>
      <c r="G28" s="502">
        <v>52</v>
      </c>
    </row>
    <row r="29" spans="1:17">
      <c r="A29" s="708" t="s">
        <v>443</v>
      </c>
      <c r="B29" s="499"/>
      <c r="C29" s="499"/>
      <c r="D29" s="499"/>
      <c r="E29" s="499"/>
      <c r="F29" s="499"/>
      <c r="G29" s="502">
        <v>209</v>
      </c>
    </row>
    <row r="30" spans="1:17">
      <c r="A30" s="355"/>
      <c r="B30" s="259"/>
      <c r="C30" s="259"/>
      <c r="D30" s="259"/>
      <c r="E30" s="259"/>
      <c r="F30" s="259"/>
      <c r="G30" s="259"/>
    </row>
    <row r="31" spans="1:17" ht="22.5" customHeight="1">
      <c r="A31" s="1188" t="s">
        <v>1174</v>
      </c>
      <c r="B31" s="1188"/>
      <c r="C31" s="1188"/>
      <c r="D31" s="1188"/>
      <c r="E31" s="1188"/>
      <c r="F31" s="1188"/>
      <c r="G31" s="1188"/>
      <c r="H31" s="801"/>
      <c r="I31" s="801"/>
      <c r="J31" s="801"/>
      <c r="K31" s="801"/>
      <c r="L31" s="801"/>
      <c r="M31" s="801"/>
      <c r="N31" s="801"/>
      <c r="O31" s="801"/>
      <c r="P31" s="801"/>
      <c r="Q31" s="801"/>
    </row>
    <row r="32" spans="1:17">
      <c r="A32" s="798"/>
      <c r="B32" s="259"/>
      <c r="C32" s="259"/>
      <c r="D32" s="259"/>
      <c r="E32" s="259"/>
      <c r="F32" s="259"/>
      <c r="G32" s="259"/>
      <c r="H32" s="801"/>
      <c r="I32" s="801"/>
      <c r="J32" s="801"/>
      <c r="K32" s="801"/>
      <c r="L32" s="801"/>
      <c r="M32" s="801"/>
      <c r="N32" s="801"/>
      <c r="O32" s="801"/>
      <c r="P32" s="801"/>
      <c r="Q32" s="801"/>
    </row>
    <row r="33" spans="1:7" ht="57" customHeight="1">
      <c r="A33" s="1279" t="s">
        <v>1661</v>
      </c>
      <c r="B33" s="1279"/>
      <c r="C33" s="1279"/>
      <c r="D33" s="1279"/>
      <c r="E33" s="1279"/>
      <c r="F33" s="1279"/>
      <c r="G33" s="1279"/>
    </row>
  </sheetData>
  <mergeCells count="3">
    <mergeCell ref="A33:G33"/>
    <mergeCell ref="A1:G1"/>
    <mergeCell ref="A31:G31"/>
  </mergeCells>
  <phoneticPr fontId="0" type="noConversion"/>
  <pageMargins left="0.75" right="0.75" top="1" bottom="1" header="0.5" footer="0.5"/>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Q42"/>
  <sheetViews>
    <sheetView zoomScaleNormal="100" workbookViewId="0">
      <selection sqref="A1:F1"/>
    </sheetView>
  </sheetViews>
  <sheetFormatPr defaultColWidth="8.7109375" defaultRowHeight="10.199999999999999"/>
  <cols>
    <col min="1" max="1" width="63.28515625" style="286" customWidth="1"/>
    <col min="2" max="6" width="13.28515625" style="232" customWidth="1"/>
    <col min="7" max="17" width="3.7109375" style="205" customWidth="1"/>
    <col min="18" max="16384" width="8.7109375" style="1079"/>
  </cols>
  <sheetData>
    <row r="1" spans="1:6" ht="15.6">
      <c r="A1" s="1151" t="s">
        <v>1387</v>
      </c>
      <c r="B1" s="1245"/>
      <c r="C1" s="1245"/>
      <c r="D1" s="1245"/>
      <c r="E1" s="1245"/>
      <c r="F1" s="1245"/>
    </row>
    <row r="2" spans="1:6">
      <c r="A2" s="299"/>
      <c r="B2" s="295"/>
      <c r="C2" s="295"/>
      <c r="D2" s="295"/>
      <c r="E2" s="295"/>
      <c r="F2" s="295"/>
    </row>
    <row r="3" spans="1:6">
      <c r="A3" s="362">
        <v>2018</v>
      </c>
      <c r="B3" s="318"/>
      <c r="C3" s="318"/>
      <c r="D3" s="318"/>
      <c r="E3" s="318"/>
      <c r="F3" s="318"/>
    </row>
    <row r="4" spans="1:6">
      <c r="A4" s="335"/>
      <c r="B4" s="680" t="s">
        <v>443</v>
      </c>
      <c r="C4" s="842" t="s">
        <v>442</v>
      </c>
      <c r="D4" s="767"/>
      <c r="E4" s="768"/>
      <c r="F4" s="681"/>
    </row>
    <row r="5" spans="1:6" ht="11.25" customHeight="1">
      <c r="A5" s="381" t="s">
        <v>740</v>
      </c>
      <c r="B5" s="682" t="s">
        <v>371</v>
      </c>
      <c r="C5" s="682" t="s">
        <v>1621</v>
      </c>
      <c r="D5" s="682" t="s">
        <v>1622</v>
      </c>
      <c r="E5" s="682" t="s">
        <v>420</v>
      </c>
      <c r="F5" s="682" t="s">
        <v>620</v>
      </c>
    </row>
    <row r="6" spans="1:6">
      <c r="A6" s="556" t="s">
        <v>507</v>
      </c>
      <c r="B6" s="630">
        <v>63</v>
      </c>
      <c r="C6" s="630">
        <v>186</v>
      </c>
      <c r="D6" s="630">
        <v>311</v>
      </c>
      <c r="E6" s="630">
        <v>250</v>
      </c>
      <c r="F6" s="630">
        <v>809</v>
      </c>
    </row>
    <row r="7" spans="1:6">
      <c r="A7" s="556" t="s">
        <v>956</v>
      </c>
      <c r="B7" s="630">
        <v>1</v>
      </c>
      <c r="C7" s="630">
        <v>2</v>
      </c>
      <c r="D7" s="630"/>
      <c r="E7" s="630"/>
      <c r="F7" s="630">
        <v>2</v>
      </c>
    </row>
    <row r="8" spans="1:6">
      <c r="A8" s="556" t="s">
        <v>928</v>
      </c>
      <c r="B8" s="630">
        <v>11</v>
      </c>
      <c r="C8" s="630"/>
      <c r="D8" s="630"/>
      <c r="E8" s="630"/>
      <c r="F8" s="630">
        <v>11</v>
      </c>
    </row>
    <row r="9" spans="1:6">
      <c r="A9" s="556" t="s">
        <v>644</v>
      </c>
      <c r="B9" s="630">
        <v>596</v>
      </c>
      <c r="C9" s="630"/>
      <c r="D9" s="630"/>
      <c r="E9" s="630"/>
      <c r="F9" s="630">
        <v>596</v>
      </c>
    </row>
    <row r="10" spans="1:6">
      <c r="A10" s="556" t="s">
        <v>1398</v>
      </c>
      <c r="B10" s="630">
        <v>63</v>
      </c>
      <c r="C10" s="630">
        <v>12</v>
      </c>
      <c r="D10" s="630">
        <v>3</v>
      </c>
      <c r="E10" s="630"/>
      <c r="F10" s="630">
        <v>79</v>
      </c>
    </row>
    <row r="11" spans="1:6">
      <c r="A11" s="550" t="s">
        <v>135</v>
      </c>
      <c r="B11" s="625">
        <v>9</v>
      </c>
      <c r="C11" s="625"/>
      <c r="D11" s="625"/>
      <c r="E11" s="625"/>
      <c r="F11" s="625">
        <v>9</v>
      </c>
    </row>
    <row r="12" spans="1:6">
      <c r="A12" s="536" t="s">
        <v>620</v>
      </c>
      <c r="B12" s="626">
        <v>744</v>
      </c>
      <c r="C12" s="626">
        <v>199</v>
      </c>
      <c r="D12" s="626">
        <v>314</v>
      </c>
      <c r="E12" s="626">
        <v>250</v>
      </c>
      <c r="F12" s="626">
        <v>1507</v>
      </c>
    </row>
    <row r="13" spans="1:6">
      <c r="A13" s="535"/>
      <c r="B13" s="669"/>
      <c r="C13" s="669"/>
      <c r="D13" s="669"/>
      <c r="E13" s="669"/>
      <c r="F13" s="669"/>
    </row>
    <row r="14" spans="1:6">
      <c r="A14" s="561" t="s">
        <v>697</v>
      </c>
      <c r="B14" s="625">
        <v>8</v>
      </c>
      <c r="C14" s="625">
        <v>13</v>
      </c>
      <c r="D14" s="625">
        <v>11</v>
      </c>
      <c r="E14" s="625">
        <v>7</v>
      </c>
      <c r="F14" s="625">
        <v>39</v>
      </c>
    </row>
    <row r="15" spans="1:6">
      <c r="A15" s="535" t="s">
        <v>951</v>
      </c>
      <c r="B15" s="630">
        <v>752</v>
      </c>
      <c r="C15" s="630">
        <v>212</v>
      </c>
      <c r="D15" s="630">
        <v>326</v>
      </c>
      <c r="E15" s="630">
        <v>257</v>
      </c>
      <c r="F15" s="630">
        <v>1546</v>
      </c>
    </row>
    <row r="16" spans="1:6">
      <c r="A16" s="349"/>
      <c r="B16" s="294"/>
      <c r="C16" s="294"/>
      <c r="D16" s="294"/>
      <c r="E16" s="294"/>
      <c r="F16" s="294"/>
    </row>
    <row r="17" spans="1:17">
      <c r="A17" s="362">
        <v>2017</v>
      </c>
      <c r="B17" s="318"/>
      <c r="C17" s="318"/>
      <c r="D17" s="318"/>
      <c r="E17" s="318"/>
      <c r="F17" s="318"/>
    </row>
    <row r="18" spans="1:17">
      <c r="A18" s="227"/>
      <c r="B18" s="386" t="s">
        <v>443</v>
      </c>
      <c r="C18" s="383" t="s">
        <v>442</v>
      </c>
      <c r="D18" s="766"/>
      <c r="E18" s="766"/>
      <c r="F18" s="254"/>
    </row>
    <row r="19" spans="1:17">
      <c r="A19" s="381" t="s">
        <v>740</v>
      </c>
      <c r="B19" s="388" t="s">
        <v>371</v>
      </c>
      <c r="C19" s="388" t="s">
        <v>1621</v>
      </c>
      <c r="D19" s="388" t="s">
        <v>1622</v>
      </c>
      <c r="E19" s="388" t="s">
        <v>420</v>
      </c>
      <c r="F19" s="388" t="s">
        <v>620</v>
      </c>
    </row>
    <row r="20" spans="1:17">
      <c r="A20" s="556" t="s">
        <v>840</v>
      </c>
      <c r="B20" s="502">
        <v>8</v>
      </c>
      <c r="C20" s="502"/>
      <c r="D20" s="502"/>
      <c r="E20" s="502"/>
      <c r="F20" s="502">
        <v>8</v>
      </c>
    </row>
    <row r="21" spans="1:17">
      <c r="A21" s="556" t="s">
        <v>507</v>
      </c>
      <c r="B21" s="502">
        <v>90</v>
      </c>
      <c r="C21" s="502">
        <v>112</v>
      </c>
      <c r="D21" s="502">
        <v>237</v>
      </c>
      <c r="E21" s="502">
        <v>166</v>
      </c>
      <c r="F21" s="502">
        <v>605</v>
      </c>
    </row>
    <row r="22" spans="1:17">
      <c r="A22" s="556" t="s">
        <v>956</v>
      </c>
      <c r="B22" s="502">
        <v>1</v>
      </c>
      <c r="C22" s="502"/>
      <c r="D22" s="502"/>
      <c r="E22" s="502"/>
      <c r="F22" s="502">
        <v>1</v>
      </c>
    </row>
    <row r="23" spans="1:17">
      <c r="A23" s="556" t="s">
        <v>928</v>
      </c>
      <c r="B23" s="502">
        <v>4</v>
      </c>
      <c r="C23" s="502"/>
      <c r="D23" s="502"/>
      <c r="E23" s="502"/>
      <c r="F23" s="502">
        <v>4</v>
      </c>
    </row>
    <row r="24" spans="1:17">
      <c r="A24" s="556" t="s">
        <v>644</v>
      </c>
      <c r="B24" s="502">
        <v>539</v>
      </c>
      <c r="C24" s="502"/>
      <c r="D24" s="502"/>
      <c r="E24" s="502"/>
      <c r="F24" s="502">
        <v>539</v>
      </c>
    </row>
    <row r="25" spans="1:17">
      <c r="A25" s="556" t="s">
        <v>1398</v>
      </c>
      <c r="B25" s="502">
        <v>23</v>
      </c>
      <c r="C25" s="502">
        <v>1</v>
      </c>
      <c r="D25" s="502">
        <v>17</v>
      </c>
      <c r="E25" s="502"/>
      <c r="F25" s="502">
        <v>41</v>
      </c>
    </row>
    <row r="26" spans="1:17">
      <c r="A26" s="561" t="s">
        <v>135</v>
      </c>
      <c r="B26" s="480">
        <v>11</v>
      </c>
      <c r="C26" s="480"/>
      <c r="D26" s="480"/>
      <c r="E26" s="480"/>
      <c r="F26" s="480">
        <v>11</v>
      </c>
    </row>
    <row r="27" spans="1:17">
      <c r="A27" s="536" t="s">
        <v>620</v>
      </c>
      <c r="B27" s="526">
        <v>676</v>
      </c>
      <c r="C27" s="526">
        <v>114</v>
      </c>
      <c r="D27" s="526">
        <v>255</v>
      </c>
      <c r="E27" s="526">
        <v>166</v>
      </c>
      <c r="F27" s="526">
        <v>1211</v>
      </c>
    </row>
    <row r="28" spans="1:17">
      <c r="A28" s="535"/>
      <c r="B28" s="499"/>
      <c r="C28" s="499"/>
      <c r="D28" s="499"/>
      <c r="E28" s="499"/>
      <c r="F28" s="499"/>
    </row>
    <row r="29" spans="1:17">
      <c r="A29" s="561" t="s">
        <v>697</v>
      </c>
      <c r="B29" s="480">
        <v>7</v>
      </c>
      <c r="C29" s="480">
        <v>12</v>
      </c>
      <c r="D29" s="480">
        <v>10</v>
      </c>
      <c r="E29" s="480">
        <v>5</v>
      </c>
      <c r="F29" s="480">
        <v>34</v>
      </c>
    </row>
    <row r="30" spans="1:17">
      <c r="A30" s="535" t="s">
        <v>951</v>
      </c>
      <c r="B30" s="502">
        <v>683</v>
      </c>
      <c r="C30" s="502">
        <v>126</v>
      </c>
      <c r="D30" s="502">
        <v>265</v>
      </c>
      <c r="E30" s="502">
        <v>171</v>
      </c>
      <c r="F30" s="502">
        <v>1245</v>
      </c>
    </row>
    <row r="31" spans="1:17">
      <c r="A31" s="355"/>
      <c r="B31" s="221"/>
      <c r="C31" s="221"/>
      <c r="D31" s="221"/>
      <c r="E31" s="221"/>
      <c r="F31" s="221"/>
    </row>
    <row r="32" spans="1:17" ht="21" customHeight="1">
      <c r="A32" s="1264" t="s">
        <v>1482</v>
      </c>
      <c r="B32" s="1195"/>
      <c r="C32" s="1195"/>
      <c r="D32" s="1195"/>
      <c r="E32" s="1195"/>
      <c r="F32" s="1195"/>
      <c r="G32" s="996"/>
      <c r="H32" s="996"/>
      <c r="I32" s="996"/>
      <c r="J32" s="996"/>
      <c r="K32" s="996"/>
      <c r="L32" s="996"/>
      <c r="M32" s="996"/>
      <c r="N32" s="996"/>
      <c r="O32" s="996"/>
      <c r="P32" s="996"/>
      <c r="Q32" s="996"/>
    </row>
    <row r="33" spans="1:17">
      <c r="A33" s="989"/>
      <c r="B33" s="221"/>
      <c r="C33" s="221"/>
      <c r="D33" s="221"/>
      <c r="E33" s="221"/>
      <c r="F33" s="221"/>
      <c r="G33" s="996"/>
      <c r="H33" s="996"/>
      <c r="I33" s="996"/>
      <c r="J33" s="996"/>
      <c r="K33" s="996"/>
      <c r="L33" s="996"/>
      <c r="M33" s="996"/>
      <c r="N33" s="996"/>
      <c r="O33" s="996"/>
      <c r="P33" s="996"/>
      <c r="Q33" s="996"/>
    </row>
    <row r="34" spans="1:17" ht="23.25" customHeight="1">
      <c r="A34" s="1264" t="s">
        <v>1444</v>
      </c>
      <c r="B34" s="1195"/>
      <c r="C34" s="1195"/>
      <c r="D34" s="1195"/>
      <c r="E34" s="1195"/>
      <c r="F34" s="1195"/>
    </row>
    <row r="39" spans="1:17">
      <c r="C39" s="387"/>
    </row>
    <row r="40" spans="1:17">
      <c r="A40" s="339"/>
      <c r="C40" s="330"/>
    </row>
    <row r="42" spans="1:17">
      <c r="A42" s="339"/>
    </row>
  </sheetData>
  <mergeCells count="3">
    <mergeCell ref="A34:F34"/>
    <mergeCell ref="A1:F1"/>
    <mergeCell ref="A32:F32"/>
  </mergeCells>
  <phoneticPr fontId="0" type="noConversion"/>
  <pageMargins left="0.75" right="0.75" top="1" bottom="1" header="0.5" footer="0.5"/>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dimension ref="A1:Q17"/>
  <sheetViews>
    <sheetView zoomScaleNormal="100" workbookViewId="0">
      <selection sqref="A1:C1"/>
    </sheetView>
  </sheetViews>
  <sheetFormatPr defaultColWidth="8.7109375" defaultRowHeight="10.199999999999999"/>
  <cols>
    <col min="1" max="1" width="90" style="286" customWidth="1"/>
    <col min="2" max="3" width="20" style="232" customWidth="1"/>
    <col min="4" max="17" width="3.7109375" style="205" customWidth="1"/>
    <col min="18" max="16384" width="8.7109375" style="1079"/>
  </cols>
  <sheetData>
    <row r="1" spans="1:17" ht="15.6">
      <c r="A1" s="1151" t="s">
        <v>1388</v>
      </c>
      <c r="B1" s="1236"/>
      <c r="C1" s="1236"/>
    </row>
    <row r="2" spans="1:17" ht="11.25" customHeight="1">
      <c r="A2" s="351"/>
      <c r="B2" s="345"/>
      <c r="C2" s="345"/>
    </row>
    <row r="3" spans="1:17" ht="11.25" customHeight="1">
      <c r="A3" s="1010"/>
      <c r="B3" s="345"/>
      <c r="C3" s="489" t="s">
        <v>1025</v>
      </c>
      <c r="D3" s="1012"/>
      <c r="E3" s="1012"/>
      <c r="F3" s="1012"/>
      <c r="G3" s="1012"/>
      <c r="H3" s="1012"/>
      <c r="I3" s="1012"/>
      <c r="J3" s="1012"/>
      <c r="K3" s="1012"/>
      <c r="L3" s="1012"/>
      <c r="M3" s="1012"/>
      <c r="N3" s="1012"/>
      <c r="O3" s="1012"/>
      <c r="P3" s="1012"/>
      <c r="Q3" s="1012"/>
    </row>
    <row r="4" spans="1:17">
      <c r="A4" s="381" t="s">
        <v>740</v>
      </c>
      <c r="B4" s="683">
        <v>2018</v>
      </c>
      <c r="C4" s="391">
        <v>2017</v>
      </c>
    </row>
    <row r="5" spans="1:17">
      <c r="A5" s="556" t="s">
        <v>1601</v>
      </c>
      <c r="B5" s="630">
        <v>295</v>
      </c>
      <c r="C5" s="502">
        <v>335</v>
      </c>
    </row>
    <row r="6" spans="1:17">
      <c r="A6" s="556" t="s">
        <v>186</v>
      </c>
      <c r="B6" s="630">
        <v>124</v>
      </c>
      <c r="C6" s="502">
        <v>191</v>
      </c>
    </row>
    <row r="7" spans="1:17">
      <c r="A7" s="556" t="s">
        <v>367</v>
      </c>
      <c r="B7" s="630">
        <v>79</v>
      </c>
      <c r="C7" s="502">
        <v>41</v>
      </c>
    </row>
    <row r="8" spans="1:17">
      <c r="A8" s="556" t="s">
        <v>530</v>
      </c>
      <c r="B8" s="630">
        <v>9</v>
      </c>
      <c r="C8" s="502">
        <v>11</v>
      </c>
    </row>
    <row r="9" spans="1:17">
      <c r="A9" s="556" t="s">
        <v>531</v>
      </c>
      <c r="B9" s="630">
        <v>45</v>
      </c>
      <c r="C9" s="502">
        <v>52</v>
      </c>
    </row>
    <row r="10" spans="1:17">
      <c r="A10" s="556" t="s">
        <v>334</v>
      </c>
      <c r="B10" s="630">
        <v>26</v>
      </c>
      <c r="C10" s="502">
        <v>26</v>
      </c>
    </row>
    <row r="11" spans="1:17">
      <c r="A11" s="561" t="s">
        <v>654</v>
      </c>
      <c r="B11" s="625">
        <v>67</v>
      </c>
      <c r="C11" s="480">
        <v>70</v>
      </c>
    </row>
    <row r="12" spans="1:17">
      <c r="A12" s="536" t="s">
        <v>620</v>
      </c>
      <c r="B12" s="626">
        <v>645</v>
      </c>
      <c r="C12" s="526">
        <v>726</v>
      </c>
    </row>
    <row r="13" spans="1:17">
      <c r="A13" s="535"/>
      <c r="B13" s="639"/>
      <c r="C13" s="499"/>
    </row>
    <row r="14" spans="1:17">
      <c r="A14" s="708" t="s">
        <v>532</v>
      </c>
      <c r="B14" s="630">
        <v>1</v>
      </c>
      <c r="C14" s="502">
        <v>1</v>
      </c>
    </row>
    <row r="15" spans="1:17">
      <c r="A15" s="708" t="s">
        <v>533</v>
      </c>
      <c r="B15" s="630">
        <v>645</v>
      </c>
      <c r="C15" s="502">
        <v>726</v>
      </c>
    </row>
    <row r="16" spans="1:17" ht="15">
      <c r="A16" s="389"/>
      <c r="B16" s="373"/>
      <c r="C16" s="390"/>
    </row>
    <row r="17" spans="1:3" ht="15">
      <c r="A17" s="389"/>
      <c r="B17" s="390"/>
      <c r="C17" s="390"/>
    </row>
  </sheetData>
  <mergeCells count="1">
    <mergeCell ref="A1:C1"/>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Q45"/>
  <sheetViews>
    <sheetView zoomScaleNormal="100" workbookViewId="0">
      <selection sqref="A1:F1"/>
    </sheetView>
  </sheetViews>
  <sheetFormatPr defaultColWidth="8.7109375" defaultRowHeight="10.199999999999999"/>
  <cols>
    <col min="1" max="1" width="2.42578125" style="286" customWidth="1"/>
    <col min="2" max="2" width="67.42578125" style="286" customWidth="1"/>
    <col min="3" max="6" width="15" style="232" customWidth="1"/>
    <col min="7" max="17" width="3.7109375" style="205" customWidth="1"/>
    <col min="18" max="16384" width="8.7109375" style="1079"/>
  </cols>
  <sheetData>
    <row r="1" spans="1:17" ht="15.6">
      <c r="A1" s="1144" t="s">
        <v>1389</v>
      </c>
      <c r="B1" s="1205"/>
      <c r="C1" s="1205"/>
      <c r="D1" s="1205"/>
      <c r="E1" s="1205"/>
      <c r="F1" s="1205"/>
    </row>
    <row r="2" spans="1:17" ht="11.25" customHeight="1">
      <c r="A2" s="207"/>
      <c r="B2" s="207"/>
      <c r="C2" s="207"/>
      <c r="D2" s="207"/>
      <c r="E2" s="207"/>
      <c r="F2" s="207"/>
    </row>
    <row r="3" spans="1:17" ht="11.25" customHeight="1">
      <c r="A3" s="1280" t="s">
        <v>1481</v>
      </c>
      <c r="B3" s="1281"/>
      <c r="C3" s="1281"/>
      <c r="D3" s="1281"/>
      <c r="E3" s="1281"/>
      <c r="F3" s="1281"/>
    </row>
    <row r="4" spans="1:17" ht="11.25" customHeight="1">
      <c r="A4" s="392"/>
      <c r="B4" s="207"/>
      <c r="C4" s="859"/>
      <c r="D4" s="859"/>
      <c r="E4" s="859"/>
      <c r="F4" s="859"/>
    </row>
    <row r="5" spans="1:17" ht="22.5" customHeight="1">
      <c r="A5" s="1282" t="s">
        <v>740</v>
      </c>
      <c r="B5" s="1282"/>
      <c r="C5" s="684">
        <v>2018</v>
      </c>
      <c r="D5" s="678" t="s">
        <v>973</v>
      </c>
      <c r="E5" s="394">
        <v>2017</v>
      </c>
      <c r="F5" s="382" t="s">
        <v>973</v>
      </c>
    </row>
    <row r="6" spans="1:17" ht="11.25" customHeight="1">
      <c r="A6" s="1146" t="s">
        <v>539</v>
      </c>
      <c r="B6" s="1161"/>
      <c r="C6" s="630"/>
      <c r="D6" s="630"/>
      <c r="E6" s="502"/>
      <c r="F6" s="502"/>
    </row>
    <row r="7" spans="1:17" ht="11.25" customHeight="1">
      <c r="A7" s="1161" t="s">
        <v>196</v>
      </c>
      <c r="B7" s="1161"/>
      <c r="C7" s="630">
        <v>270</v>
      </c>
      <c r="D7" s="630"/>
      <c r="E7" s="502">
        <v>165</v>
      </c>
      <c r="F7" s="502"/>
    </row>
    <row r="8" spans="1:17" ht="11.25" customHeight="1">
      <c r="A8" s="1161" t="s">
        <v>1201</v>
      </c>
      <c r="B8" s="1161"/>
      <c r="C8" s="630">
        <v>238</v>
      </c>
      <c r="D8" s="630"/>
      <c r="E8" s="502">
        <v>74</v>
      </c>
      <c r="F8" s="502"/>
      <c r="G8" s="801"/>
      <c r="H8" s="801"/>
      <c r="I8" s="801"/>
      <c r="J8" s="801"/>
      <c r="K8" s="801"/>
      <c r="L8" s="801"/>
      <c r="M8" s="801"/>
      <c r="N8" s="801"/>
      <c r="O8" s="801"/>
      <c r="P8" s="801"/>
      <c r="Q8" s="801"/>
    </row>
    <row r="9" spans="1:17" ht="11.25" customHeight="1">
      <c r="A9" s="1161" t="s">
        <v>1265</v>
      </c>
      <c r="B9" s="1161"/>
      <c r="C9" s="630">
        <v>1227</v>
      </c>
      <c r="D9" s="630">
        <v>314</v>
      </c>
      <c r="E9" s="502">
        <v>814</v>
      </c>
      <c r="F9" s="502">
        <v>312</v>
      </c>
    </row>
    <row r="10" spans="1:17" ht="11.25" customHeight="1">
      <c r="A10" s="1166" t="s">
        <v>1266</v>
      </c>
      <c r="B10" s="1166"/>
      <c r="C10" s="625">
        <v>1600</v>
      </c>
      <c r="D10" s="625">
        <v>721</v>
      </c>
      <c r="E10" s="480">
        <v>1134</v>
      </c>
      <c r="F10" s="480">
        <v>435</v>
      </c>
      <c r="G10" s="871"/>
      <c r="H10" s="871"/>
      <c r="I10" s="871"/>
      <c r="J10" s="871"/>
      <c r="K10" s="871"/>
      <c r="L10" s="871"/>
      <c r="M10" s="871"/>
      <c r="N10" s="871"/>
      <c r="O10" s="871"/>
      <c r="P10" s="871"/>
      <c r="Q10" s="871"/>
    </row>
    <row r="11" spans="1:17" ht="11.25" customHeight="1">
      <c r="A11" s="1169" t="s">
        <v>620</v>
      </c>
      <c r="B11" s="1244"/>
      <c r="C11" s="626">
        <v>3335</v>
      </c>
      <c r="D11" s="626">
        <v>1035</v>
      </c>
      <c r="E11" s="526">
        <v>2187</v>
      </c>
      <c r="F11" s="526">
        <v>746</v>
      </c>
    </row>
    <row r="12" spans="1:17" ht="11.25" customHeight="1">
      <c r="A12" s="551"/>
      <c r="B12" s="551"/>
      <c r="C12" s="685"/>
      <c r="D12" s="685"/>
      <c r="E12" s="551"/>
      <c r="F12" s="551"/>
    </row>
    <row r="13" spans="1:17" ht="11.25" customHeight="1">
      <c r="A13" s="1143" t="s">
        <v>333</v>
      </c>
      <c r="B13" s="1125"/>
      <c r="C13" s="685"/>
      <c r="D13" s="685"/>
      <c r="E13" s="551"/>
      <c r="F13" s="551"/>
    </row>
    <row r="14" spans="1:17" ht="11.25" customHeight="1">
      <c r="A14" s="1125" t="s">
        <v>196</v>
      </c>
      <c r="B14" s="1125"/>
      <c r="C14" s="630">
        <v>-4</v>
      </c>
      <c r="D14" s="685"/>
      <c r="E14" s="502">
        <v>-2</v>
      </c>
      <c r="F14" s="551"/>
    </row>
    <row r="15" spans="1:17" ht="11.25" customHeight="1">
      <c r="A15" s="1161" t="s">
        <v>1201</v>
      </c>
      <c r="B15" s="1161"/>
      <c r="C15" s="630">
        <v>-8</v>
      </c>
      <c r="D15" s="685"/>
      <c r="E15" s="502">
        <v>-17</v>
      </c>
      <c r="F15" s="551"/>
      <c r="G15" s="801"/>
      <c r="H15" s="801"/>
      <c r="I15" s="801"/>
      <c r="J15" s="801"/>
      <c r="K15" s="801"/>
      <c r="L15" s="801"/>
      <c r="M15" s="801"/>
      <c r="N15" s="801"/>
      <c r="O15" s="801"/>
      <c r="P15" s="801"/>
      <c r="Q15" s="801"/>
    </row>
    <row r="16" spans="1:17" ht="11.25" customHeight="1">
      <c r="A16" s="1125" t="s">
        <v>1265</v>
      </c>
      <c r="B16" s="1125"/>
      <c r="C16" s="630">
        <v>-22</v>
      </c>
      <c r="D16" s="685"/>
      <c r="E16" s="502">
        <v>2</v>
      </c>
      <c r="F16" s="551"/>
    </row>
    <row r="17" spans="1:17" ht="11.25" customHeight="1">
      <c r="A17" s="1118" t="s">
        <v>1266</v>
      </c>
      <c r="B17" s="1118"/>
      <c r="C17" s="625">
        <v>-33</v>
      </c>
      <c r="D17" s="686"/>
      <c r="E17" s="480">
        <v>3</v>
      </c>
      <c r="F17" s="583"/>
      <c r="G17" s="871"/>
      <c r="H17" s="871"/>
      <c r="I17" s="871"/>
      <c r="J17" s="871"/>
      <c r="K17" s="871"/>
      <c r="L17" s="871"/>
      <c r="M17" s="871"/>
      <c r="N17" s="871"/>
      <c r="O17" s="871"/>
      <c r="P17" s="871"/>
      <c r="Q17" s="871"/>
    </row>
    <row r="18" spans="1:17" ht="11.25" customHeight="1">
      <c r="A18" s="1177" t="s">
        <v>620</v>
      </c>
      <c r="B18" s="1250"/>
      <c r="C18" s="626">
        <v>-67</v>
      </c>
      <c r="D18" s="687"/>
      <c r="E18" s="526">
        <v>-13</v>
      </c>
      <c r="F18" s="529"/>
    </row>
    <row r="19" spans="1:17" ht="11.25" customHeight="1">
      <c r="A19" s="207"/>
      <c r="B19" s="207"/>
      <c r="C19" s="207"/>
      <c r="D19" s="207"/>
      <c r="E19" s="207"/>
      <c r="F19" s="207"/>
    </row>
    <row r="20" spans="1:17" ht="11.25" customHeight="1">
      <c r="A20" s="1198" t="s">
        <v>1548</v>
      </c>
      <c r="B20" s="1198"/>
      <c r="C20" s="1148"/>
      <c r="D20" s="1148"/>
      <c r="E20" s="1148"/>
      <c r="F20" s="1148"/>
      <c r="G20" s="871"/>
      <c r="H20" s="871"/>
      <c r="I20" s="871"/>
      <c r="J20" s="871"/>
      <c r="K20" s="871"/>
      <c r="L20" s="871"/>
      <c r="M20" s="871"/>
      <c r="N20" s="871"/>
      <c r="O20" s="871"/>
      <c r="P20" s="871"/>
      <c r="Q20" s="871"/>
    </row>
    <row r="21" spans="1:17" ht="11.25" customHeight="1">
      <c r="A21" s="870"/>
      <c r="B21" s="870"/>
      <c r="C21" s="870"/>
      <c r="D21" s="870"/>
      <c r="E21" s="870"/>
      <c r="F21" s="870"/>
      <c r="G21" s="871"/>
      <c r="H21" s="871"/>
      <c r="I21" s="871"/>
      <c r="J21" s="871"/>
      <c r="K21" s="871"/>
      <c r="L21" s="871"/>
      <c r="M21" s="871"/>
      <c r="N21" s="871"/>
      <c r="O21" s="871"/>
      <c r="P21" s="871"/>
      <c r="Q21" s="871"/>
    </row>
    <row r="22" spans="1:17" ht="33.75" customHeight="1">
      <c r="A22" s="1198" t="s">
        <v>1634</v>
      </c>
      <c r="B22" s="1198"/>
      <c r="C22" s="1148"/>
      <c r="D22" s="1148"/>
      <c r="E22" s="1148"/>
      <c r="F22" s="1148"/>
    </row>
    <row r="23" spans="1:17">
      <c r="A23" s="392"/>
      <c r="B23" s="207"/>
      <c r="C23" s="207"/>
      <c r="D23" s="207"/>
      <c r="E23" s="207"/>
      <c r="F23" s="207"/>
    </row>
    <row r="24" spans="1:17" ht="45" customHeight="1">
      <c r="A24" s="1187" t="s">
        <v>1067</v>
      </c>
      <c r="B24" s="1187"/>
      <c r="C24" s="1187"/>
      <c r="D24" s="1187"/>
      <c r="E24" s="1187"/>
      <c r="F24" s="1187"/>
    </row>
    <row r="25" spans="1:17">
      <c r="A25" s="392"/>
      <c r="B25" s="207"/>
      <c r="C25" s="207"/>
      <c r="D25" s="207"/>
      <c r="E25" s="207"/>
      <c r="F25" s="207"/>
    </row>
    <row r="26" spans="1:17">
      <c r="A26" s="1182" t="s">
        <v>740</v>
      </c>
      <c r="B26" s="1227"/>
      <c r="C26" s="584"/>
      <c r="D26" s="584"/>
      <c r="E26" s="688">
        <v>2018</v>
      </c>
      <c r="F26" s="585">
        <v>2017</v>
      </c>
    </row>
    <row r="27" spans="1:17">
      <c r="A27" s="1146" t="s">
        <v>1048</v>
      </c>
      <c r="B27" s="1146"/>
      <c r="C27" s="551"/>
      <c r="D27" s="551"/>
      <c r="E27" s="685"/>
      <c r="F27" s="551"/>
    </row>
    <row r="28" spans="1:17">
      <c r="A28" s="551"/>
      <c r="B28" s="551"/>
      <c r="C28" s="551"/>
      <c r="D28" s="551"/>
      <c r="E28" s="685"/>
      <c r="F28" s="551"/>
    </row>
    <row r="29" spans="1:17">
      <c r="A29" s="1146" t="s">
        <v>556</v>
      </c>
      <c r="B29" s="1146"/>
      <c r="C29" s="551"/>
      <c r="D29" s="551"/>
      <c r="E29" s="707"/>
      <c r="F29" s="559"/>
    </row>
    <row r="30" spans="1:17">
      <c r="A30" s="1127" t="s">
        <v>1201</v>
      </c>
      <c r="B30" s="1127"/>
      <c r="C30" s="551"/>
      <c r="D30" s="551"/>
      <c r="E30" s="630">
        <v>3</v>
      </c>
      <c r="F30" s="502"/>
      <c r="G30" s="1059"/>
      <c r="H30" s="1059"/>
      <c r="I30" s="1059"/>
      <c r="J30" s="1059"/>
      <c r="K30" s="1059"/>
      <c r="L30" s="1059"/>
      <c r="M30" s="1059"/>
      <c r="N30" s="1059"/>
      <c r="O30" s="1059"/>
      <c r="P30" s="1059"/>
      <c r="Q30" s="1059"/>
    </row>
    <row r="31" spans="1:17">
      <c r="A31" s="1166" t="s">
        <v>837</v>
      </c>
      <c r="B31" s="1166"/>
      <c r="C31" s="583"/>
      <c r="D31" s="583"/>
      <c r="E31" s="625">
        <v>8</v>
      </c>
      <c r="F31" s="480">
        <v>28</v>
      </c>
    </row>
    <row r="32" spans="1:17">
      <c r="A32" s="1169" t="s">
        <v>620</v>
      </c>
      <c r="B32" s="1169"/>
      <c r="C32" s="529"/>
      <c r="D32" s="529"/>
      <c r="E32" s="626">
        <v>12</v>
      </c>
      <c r="F32" s="526">
        <v>28</v>
      </c>
    </row>
    <row r="33" spans="1:17">
      <c r="A33" s="551"/>
      <c r="B33" s="551"/>
      <c r="C33" s="551"/>
      <c r="D33" s="551"/>
      <c r="E33" s="707"/>
      <c r="F33" s="559"/>
    </row>
    <row r="34" spans="1:17">
      <c r="A34" s="1146" t="s">
        <v>352</v>
      </c>
      <c r="B34" s="1146"/>
      <c r="C34" s="551"/>
      <c r="D34" s="551"/>
      <c r="E34" s="707"/>
      <c r="F34" s="559"/>
    </row>
    <row r="35" spans="1:17">
      <c r="A35" s="1127" t="s">
        <v>196</v>
      </c>
      <c r="B35" s="1127"/>
      <c r="C35" s="551"/>
      <c r="D35" s="551"/>
      <c r="E35" s="1060">
        <v>-4</v>
      </c>
      <c r="F35" s="559">
        <v>-19</v>
      </c>
    </row>
    <row r="36" spans="1:17">
      <c r="A36" s="1127" t="s">
        <v>1201</v>
      </c>
      <c r="B36" s="1127"/>
      <c r="C36" s="551"/>
      <c r="D36" s="551"/>
      <c r="E36" s="1060">
        <v>-11</v>
      </c>
      <c r="F36" s="1057"/>
      <c r="G36" s="1059"/>
      <c r="H36" s="1059"/>
      <c r="I36" s="1059"/>
      <c r="J36" s="1059"/>
      <c r="K36" s="1059"/>
      <c r="L36" s="1059"/>
      <c r="M36" s="1059"/>
      <c r="N36" s="1059"/>
      <c r="O36" s="1059"/>
      <c r="P36" s="1059"/>
      <c r="Q36" s="1059"/>
    </row>
    <row r="37" spans="1:17">
      <c r="A37" s="1166" t="s">
        <v>837</v>
      </c>
      <c r="B37" s="1166"/>
      <c r="C37" s="583"/>
      <c r="D37" s="583"/>
      <c r="E37" s="625">
        <v>-63</v>
      </c>
      <c r="F37" s="480">
        <v>-22</v>
      </c>
    </row>
    <row r="38" spans="1:17">
      <c r="A38" s="1169" t="s">
        <v>620</v>
      </c>
      <c r="B38" s="1169"/>
      <c r="C38" s="529"/>
      <c r="D38" s="529"/>
      <c r="E38" s="626">
        <v>-79</v>
      </c>
      <c r="F38" s="526">
        <v>-41</v>
      </c>
    </row>
    <row r="39" spans="1:17">
      <c r="A39" s="551"/>
      <c r="B39" s="551"/>
      <c r="C39" s="551"/>
      <c r="D39" s="551"/>
      <c r="E39" s="707"/>
      <c r="F39" s="559"/>
    </row>
    <row r="40" spans="1:17">
      <c r="A40" s="1146" t="s">
        <v>1048</v>
      </c>
      <c r="B40" s="1146"/>
      <c r="C40" s="551"/>
      <c r="D40" s="551"/>
      <c r="E40" s="707"/>
      <c r="F40" s="559"/>
    </row>
    <row r="41" spans="1:17">
      <c r="A41" s="1161" t="s">
        <v>556</v>
      </c>
      <c r="B41" s="1161"/>
      <c r="C41" s="551"/>
      <c r="D41" s="551"/>
      <c r="E41" s="630"/>
      <c r="F41" s="502">
        <v>12</v>
      </c>
    </row>
    <row r="42" spans="1:17">
      <c r="A42" s="1166" t="s">
        <v>352</v>
      </c>
      <c r="B42" s="1166"/>
      <c r="C42" s="583"/>
      <c r="D42" s="583"/>
      <c r="E42" s="625">
        <v>-67</v>
      </c>
      <c r="F42" s="480">
        <v>-27</v>
      </c>
    </row>
    <row r="43" spans="1:17">
      <c r="A43" s="1169" t="s">
        <v>620</v>
      </c>
      <c r="B43" s="1169"/>
      <c r="C43" s="529"/>
      <c r="D43" s="529"/>
      <c r="E43" s="626">
        <v>-67</v>
      </c>
      <c r="F43" s="526">
        <v>-16</v>
      </c>
    </row>
    <row r="44" spans="1:17">
      <c r="A44" s="207"/>
      <c r="B44" s="207"/>
      <c r="C44" s="207"/>
      <c r="D44" s="207"/>
      <c r="E44" s="207"/>
      <c r="F44" s="207"/>
    </row>
    <row r="45" spans="1:17">
      <c r="A45" s="207"/>
      <c r="B45" s="207"/>
      <c r="C45" s="207"/>
      <c r="D45" s="207"/>
      <c r="E45" s="207"/>
      <c r="F45" s="207"/>
    </row>
  </sheetData>
  <mergeCells count="33">
    <mergeCell ref="A1:F1"/>
    <mergeCell ref="A3:F3"/>
    <mergeCell ref="A6:B6"/>
    <mergeCell ref="A7:B7"/>
    <mergeCell ref="A5:B5"/>
    <mergeCell ref="A8:B8"/>
    <mergeCell ref="A9:B9"/>
    <mergeCell ref="A14:B14"/>
    <mergeCell ref="A11:B11"/>
    <mergeCell ref="A13:B13"/>
    <mergeCell ref="A37:B37"/>
    <mergeCell ref="A34:B34"/>
    <mergeCell ref="A32:B32"/>
    <mergeCell ref="A36:B36"/>
    <mergeCell ref="A30:B30"/>
    <mergeCell ref="A43:B43"/>
    <mergeCell ref="A42:B42"/>
    <mergeCell ref="A41:B41"/>
    <mergeCell ref="A40:B40"/>
    <mergeCell ref="A38:B38"/>
    <mergeCell ref="A20:F20"/>
    <mergeCell ref="A17:B17"/>
    <mergeCell ref="A10:B10"/>
    <mergeCell ref="A35:B35"/>
    <mergeCell ref="A31:B31"/>
    <mergeCell ref="A24:F24"/>
    <mergeCell ref="A29:B29"/>
    <mergeCell ref="A27:B27"/>
    <mergeCell ref="A26:B26"/>
    <mergeCell ref="A18:B18"/>
    <mergeCell ref="A16:B16"/>
    <mergeCell ref="A15:B15"/>
    <mergeCell ref="A22:F22"/>
  </mergeCells>
  <phoneticPr fontId="0" type="noConversion"/>
  <pageMargins left="0.75" right="0.75" top="1" bottom="1" header="0.5" footer="0.5"/>
  <pageSetup scale="83" orientation="portrait" horizontalDpi="300" r:id="rId1"/>
  <headerFooter alignWithMargins="0"/>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Q28"/>
  <sheetViews>
    <sheetView zoomScaleNormal="100" workbookViewId="0">
      <selection sqref="A1:F1"/>
    </sheetView>
  </sheetViews>
  <sheetFormatPr defaultColWidth="8.7109375" defaultRowHeight="10.199999999999999"/>
  <cols>
    <col min="1" max="1" width="2.42578125" style="286" customWidth="1"/>
    <col min="2" max="2" width="67.42578125" style="286" customWidth="1"/>
    <col min="3" max="6" width="14.7109375" style="232" customWidth="1"/>
    <col min="7" max="17" width="3.7109375" style="205" customWidth="1"/>
    <col min="18" max="16384" width="8.7109375" style="1079"/>
  </cols>
  <sheetData>
    <row r="1" spans="1:6" ht="16.5" customHeight="1">
      <c r="A1" s="1284" t="s">
        <v>1390</v>
      </c>
      <c r="B1" s="1285"/>
      <c r="C1" s="1285"/>
      <c r="D1" s="1285"/>
      <c r="E1" s="1285"/>
      <c r="F1" s="1285"/>
    </row>
    <row r="2" spans="1:6">
      <c r="A2" s="613"/>
      <c r="B2" s="395"/>
      <c r="C2" s="238"/>
      <c r="D2" s="238"/>
      <c r="E2" s="238"/>
      <c r="F2" s="238"/>
    </row>
    <row r="3" spans="1:6" ht="11.25" customHeight="1">
      <c r="A3" s="610"/>
      <c r="B3" s="610"/>
      <c r="C3" s="672"/>
      <c r="D3" s="647">
        <v>2018</v>
      </c>
      <c r="E3" s="605"/>
      <c r="F3" s="420">
        <v>2017</v>
      </c>
    </row>
    <row r="4" spans="1:6" ht="45" customHeight="1">
      <c r="A4" s="1182" t="s">
        <v>740</v>
      </c>
      <c r="B4" s="1182"/>
      <c r="C4" s="673" t="s">
        <v>1256</v>
      </c>
      <c r="D4" s="673" t="s">
        <v>883</v>
      </c>
      <c r="E4" s="568" t="s">
        <v>1256</v>
      </c>
      <c r="F4" s="568" t="s">
        <v>883</v>
      </c>
    </row>
    <row r="5" spans="1:6" ht="22.5" customHeight="1">
      <c r="A5" s="1143" t="s">
        <v>884</v>
      </c>
      <c r="B5" s="1143"/>
      <c r="C5" s="630"/>
      <c r="D5" s="630"/>
      <c r="E5" s="502"/>
      <c r="F5" s="502"/>
    </row>
    <row r="6" spans="1:6" ht="11.25" customHeight="1">
      <c r="A6" s="1141" t="s">
        <v>1131</v>
      </c>
      <c r="B6" s="1141"/>
      <c r="C6" s="625">
        <v>15</v>
      </c>
      <c r="D6" s="625">
        <v>10</v>
      </c>
      <c r="E6" s="480">
        <v>16</v>
      </c>
      <c r="F6" s="480">
        <v>10</v>
      </c>
    </row>
    <row r="7" spans="1:6" ht="11.25" customHeight="1">
      <c r="A7" s="1177" t="s">
        <v>620</v>
      </c>
      <c r="B7" s="1177"/>
      <c r="C7" s="626">
        <v>15</v>
      </c>
      <c r="D7" s="626">
        <v>10</v>
      </c>
      <c r="E7" s="526">
        <v>16</v>
      </c>
      <c r="F7" s="526">
        <v>10</v>
      </c>
    </row>
    <row r="8" spans="1:6" ht="11.25" customHeight="1">
      <c r="A8" s="604"/>
      <c r="B8" s="604"/>
      <c r="C8" s="639"/>
      <c r="D8" s="639" t="s">
        <v>765</v>
      </c>
      <c r="E8" s="499"/>
      <c r="F8" s="499" t="s">
        <v>765</v>
      </c>
    </row>
    <row r="9" spans="1:6" ht="22.5" customHeight="1">
      <c r="A9" s="1143" t="s">
        <v>1169</v>
      </c>
      <c r="B9" s="1143"/>
      <c r="C9" s="639"/>
      <c r="D9" s="639"/>
      <c r="E9" s="499"/>
      <c r="F9" s="499"/>
    </row>
    <row r="10" spans="1:6" ht="11.25" customHeight="1">
      <c r="A10" s="1124" t="s">
        <v>1132</v>
      </c>
      <c r="B10" s="1124"/>
      <c r="C10" s="630">
        <v>8</v>
      </c>
      <c r="D10" s="630">
        <v>2</v>
      </c>
      <c r="E10" s="502">
        <v>11</v>
      </c>
      <c r="F10" s="502">
        <v>4</v>
      </c>
    </row>
    <row r="11" spans="1:6" ht="11.25" customHeight="1">
      <c r="A11" s="1141" t="s">
        <v>1131</v>
      </c>
      <c r="B11" s="1141"/>
      <c r="C11" s="625"/>
      <c r="D11" s="625">
        <v>17</v>
      </c>
      <c r="E11" s="480"/>
      <c r="F11" s="480">
        <v>16</v>
      </c>
    </row>
    <row r="12" spans="1:6" ht="11.25" customHeight="1">
      <c r="A12" s="1177" t="s">
        <v>620</v>
      </c>
      <c r="B12" s="1177"/>
      <c r="C12" s="626">
        <v>8</v>
      </c>
      <c r="D12" s="626">
        <v>19</v>
      </c>
      <c r="E12" s="526">
        <v>11</v>
      </c>
      <c r="F12" s="526">
        <v>19</v>
      </c>
    </row>
    <row r="13" spans="1:6" ht="10.5" customHeight="1">
      <c r="A13" s="349"/>
      <c r="B13" s="349"/>
      <c r="C13" s="296"/>
      <c r="D13" s="296"/>
      <c r="E13" s="296"/>
      <c r="F13" s="296"/>
    </row>
    <row r="14" spans="1:6" ht="10.5" customHeight="1">
      <c r="A14" s="349"/>
      <c r="B14" s="349"/>
      <c r="C14" s="296"/>
      <c r="D14" s="296"/>
      <c r="E14" s="296"/>
      <c r="F14" s="296"/>
    </row>
    <row r="15" spans="1:6">
      <c r="A15" s="1182" t="s">
        <v>740</v>
      </c>
      <c r="B15" s="1182"/>
      <c r="C15" s="586" t="s">
        <v>765</v>
      </c>
      <c r="D15" s="554"/>
      <c r="E15" s="662">
        <v>2018</v>
      </c>
      <c r="F15" s="547">
        <v>2017</v>
      </c>
    </row>
    <row r="16" spans="1:6" ht="11.25" customHeight="1">
      <c r="A16" s="1143" t="s">
        <v>889</v>
      </c>
      <c r="B16" s="1143"/>
      <c r="C16" s="587"/>
      <c r="D16" s="548"/>
      <c r="E16" s="630"/>
      <c r="F16" s="499"/>
    </row>
    <row r="17" spans="1:6" ht="11.25" customHeight="1">
      <c r="A17" s="1283" t="s">
        <v>890</v>
      </c>
      <c r="B17" s="1283"/>
      <c r="C17" s="611"/>
      <c r="D17" s="552"/>
      <c r="E17" s="625">
        <v>775</v>
      </c>
      <c r="F17" s="480">
        <v>737</v>
      </c>
    </row>
    <row r="18" spans="1:6">
      <c r="A18" s="1177" t="s">
        <v>620</v>
      </c>
      <c r="B18" s="1177"/>
      <c r="C18" s="612"/>
      <c r="D18" s="589"/>
      <c r="E18" s="626">
        <v>775</v>
      </c>
      <c r="F18" s="526">
        <v>737</v>
      </c>
    </row>
    <row r="19" spans="1:6">
      <c r="A19" s="604"/>
      <c r="B19" s="604"/>
      <c r="C19" s="587"/>
      <c r="D19" s="548"/>
      <c r="E19" s="630"/>
      <c r="F19" s="499"/>
    </row>
    <row r="20" spans="1:6" ht="11.25" customHeight="1">
      <c r="A20" s="1143" t="s">
        <v>233</v>
      </c>
      <c r="B20" s="1143"/>
      <c r="C20" s="587"/>
      <c r="D20" s="548"/>
      <c r="E20" s="630"/>
      <c r="F20" s="499"/>
    </row>
    <row r="21" spans="1:6">
      <c r="A21" s="1124" t="s">
        <v>1128</v>
      </c>
      <c r="B21" s="1124"/>
      <c r="C21" s="587"/>
      <c r="D21" s="548"/>
      <c r="E21" s="630">
        <v>53</v>
      </c>
      <c r="F21" s="502">
        <v>35</v>
      </c>
    </row>
    <row r="22" spans="1:6">
      <c r="A22" s="1124" t="s">
        <v>1129</v>
      </c>
      <c r="B22" s="1124"/>
      <c r="C22" s="587"/>
      <c r="D22" s="548"/>
      <c r="E22" s="630">
        <v>148</v>
      </c>
      <c r="F22" s="502">
        <v>101</v>
      </c>
    </row>
    <row r="23" spans="1:6">
      <c r="A23" s="1141" t="s">
        <v>1130</v>
      </c>
      <c r="B23" s="1141"/>
      <c r="C23" s="591"/>
      <c r="D23" s="552"/>
      <c r="E23" s="625">
        <v>83</v>
      </c>
      <c r="F23" s="480">
        <v>48</v>
      </c>
    </row>
    <row r="24" spans="1:6">
      <c r="A24" s="1177" t="s">
        <v>620</v>
      </c>
      <c r="B24" s="1177"/>
      <c r="C24" s="588"/>
      <c r="D24" s="589"/>
      <c r="E24" s="626">
        <v>284</v>
      </c>
      <c r="F24" s="526">
        <v>185</v>
      </c>
    </row>
    <row r="25" spans="1:6" ht="11.25" customHeight="1">
      <c r="A25" s="712"/>
      <c r="B25" s="332"/>
      <c r="C25" s="281"/>
      <c r="D25" s="282"/>
      <c r="E25" s="282"/>
      <c r="F25" s="281"/>
    </row>
    <row r="26" spans="1:6" ht="11.25" customHeight="1">
      <c r="A26" s="348"/>
      <c r="B26" s="348"/>
      <c r="C26" s="348"/>
      <c r="D26" s="348"/>
      <c r="E26" s="348"/>
      <c r="F26" s="348"/>
    </row>
    <row r="27" spans="1:6" ht="11.25" customHeight="1"/>
    <row r="28" spans="1:6" ht="11.25" customHeight="1"/>
  </sheetData>
  <mergeCells count="18">
    <mergeCell ref="A10:B10"/>
    <mergeCell ref="A11:B11"/>
    <mergeCell ref="A17:B17"/>
    <mergeCell ref="A21:B21"/>
    <mergeCell ref="A1:F1"/>
    <mergeCell ref="A5:B5"/>
    <mergeCell ref="A7:B7"/>
    <mergeCell ref="A9:B9"/>
    <mergeCell ref="A4:B4"/>
    <mergeCell ref="A6:B6"/>
    <mergeCell ref="A24:B24"/>
    <mergeCell ref="A12:B12"/>
    <mergeCell ref="A15:B15"/>
    <mergeCell ref="A16:B16"/>
    <mergeCell ref="A20:B20"/>
    <mergeCell ref="A18:B18"/>
    <mergeCell ref="A22:B22"/>
    <mergeCell ref="A23:B23"/>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pageSetUpPr fitToPage="1"/>
  </sheetPr>
  <dimension ref="A1:Q61"/>
  <sheetViews>
    <sheetView zoomScaleNormal="100" workbookViewId="0">
      <selection sqref="A1:D1"/>
    </sheetView>
  </sheetViews>
  <sheetFormatPr defaultColWidth="8.7109375" defaultRowHeight="10.199999999999999"/>
  <cols>
    <col min="1" max="1" width="2.42578125" style="286" customWidth="1"/>
    <col min="2" max="2" width="87.42578125" style="286" customWidth="1"/>
    <col min="3" max="4" width="20" style="232" customWidth="1"/>
    <col min="5" max="17" width="3.7109375" style="205" customWidth="1"/>
    <col min="18" max="16384" width="8.7109375" style="1079"/>
  </cols>
  <sheetData>
    <row r="1" spans="1:4" ht="16.5" customHeight="1">
      <c r="A1" s="1151" t="s">
        <v>1391</v>
      </c>
      <c r="B1" s="1245"/>
      <c r="C1" s="1245"/>
      <c r="D1" s="1245"/>
    </row>
    <row r="2" spans="1:4">
      <c r="A2" s="299"/>
      <c r="B2" s="293"/>
      <c r="C2" s="295"/>
      <c r="D2" s="295"/>
    </row>
    <row r="3" spans="1:4" ht="11.25" customHeight="1">
      <c r="A3" s="1198" t="s">
        <v>1202</v>
      </c>
      <c r="B3" s="1148"/>
      <c r="C3" s="1148"/>
      <c r="D3" s="1148"/>
    </row>
    <row r="4" spans="1:4">
      <c r="A4" s="349"/>
      <c r="B4" s="349"/>
      <c r="C4" s="294"/>
      <c r="D4" s="294"/>
    </row>
    <row r="5" spans="1:4">
      <c r="A5" s="1277" t="s">
        <v>988</v>
      </c>
      <c r="B5" s="1148"/>
      <c r="C5" s="278"/>
      <c r="D5" s="278"/>
    </row>
    <row r="6" spans="1:4">
      <c r="A6" s="349"/>
      <c r="B6" s="349"/>
      <c r="C6" s="205"/>
      <c r="D6" s="205"/>
    </row>
    <row r="7" spans="1:4" ht="22.5" customHeight="1">
      <c r="A7" s="348"/>
      <c r="B7" s="348"/>
      <c r="C7" s="1270" t="s">
        <v>1088</v>
      </c>
      <c r="D7" s="1270"/>
    </row>
    <row r="8" spans="1:4">
      <c r="A8" s="1182" t="s">
        <v>331</v>
      </c>
      <c r="B8" s="1227"/>
      <c r="C8" s="662">
        <v>2018</v>
      </c>
      <c r="D8" s="547">
        <v>2017</v>
      </c>
    </row>
    <row r="9" spans="1:4">
      <c r="A9" s="1125" t="s">
        <v>990</v>
      </c>
      <c r="B9" s="1125"/>
      <c r="C9" s="639"/>
      <c r="D9" s="499"/>
    </row>
    <row r="10" spans="1:4">
      <c r="A10" s="1124" t="s">
        <v>705</v>
      </c>
      <c r="B10" s="1124"/>
      <c r="C10" s="630">
        <v>862</v>
      </c>
      <c r="D10" s="502">
        <v>785</v>
      </c>
    </row>
    <row r="11" spans="1:4">
      <c r="A11" s="1124" t="s">
        <v>1041</v>
      </c>
      <c r="B11" s="1124"/>
      <c r="C11" s="630"/>
      <c r="D11" s="502">
        <v>234</v>
      </c>
    </row>
    <row r="12" spans="1:4">
      <c r="A12" s="1124" t="s">
        <v>1572</v>
      </c>
      <c r="B12" s="1124"/>
      <c r="C12" s="630">
        <v>-1742</v>
      </c>
      <c r="D12" s="502">
        <v>3438</v>
      </c>
    </row>
    <row r="13" spans="1:4">
      <c r="A13" s="1124" t="s">
        <v>1000</v>
      </c>
      <c r="B13" s="1124"/>
      <c r="C13" s="630">
        <v>119</v>
      </c>
      <c r="D13" s="502">
        <v>145</v>
      </c>
    </row>
    <row r="14" spans="1:4">
      <c r="A14" s="1124" t="s">
        <v>1001</v>
      </c>
      <c r="B14" s="1124"/>
      <c r="C14" s="630">
        <v>170</v>
      </c>
      <c r="D14" s="502">
        <v>156</v>
      </c>
    </row>
    <row r="15" spans="1:4">
      <c r="A15" s="1117" t="s">
        <v>991</v>
      </c>
      <c r="B15" s="1117"/>
      <c r="C15" s="630"/>
      <c r="D15" s="502"/>
    </row>
    <row r="16" spans="1:4">
      <c r="A16" s="1124" t="s">
        <v>705</v>
      </c>
      <c r="B16" s="1124"/>
      <c r="C16" s="630">
        <v>384</v>
      </c>
      <c r="D16" s="502">
        <v>425</v>
      </c>
    </row>
    <row r="17" spans="1:17">
      <c r="A17" s="1124" t="s">
        <v>1041</v>
      </c>
      <c r="B17" s="1124"/>
      <c r="C17" s="630"/>
      <c r="D17" s="502">
        <v>80</v>
      </c>
    </row>
    <row r="18" spans="1:17">
      <c r="A18" s="1124" t="s">
        <v>1572</v>
      </c>
      <c r="B18" s="1124"/>
      <c r="C18" s="630">
        <v>-871</v>
      </c>
      <c r="D18" s="502">
        <v>1719</v>
      </c>
    </row>
    <row r="19" spans="1:17">
      <c r="A19" s="1124" t="s">
        <v>1000</v>
      </c>
      <c r="B19" s="1124"/>
      <c r="C19" s="630">
        <v>115</v>
      </c>
      <c r="D19" s="502"/>
    </row>
    <row r="20" spans="1:17">
      <c r="A20" s="1124" t="s">
        <v>1001</v>
      </c>
      <c r="B20" s="1124"/>
      <c r="C20" s="630">
        <v>107</v>
      </c>
      <c r="D20" s="502">
        <v>88</v>
      </c>
    </row>
    <row r="21" spans="1:17" ht="11.25" customHeight="1">
      <c r="A21" s="1117" t="s">
        <v>706</v>
      </c>
      <c r="B21" s="1117"/>
      <c r="C21" s="630"/>
      <c r="D21" s="502"/>
    </row>
    <row r="22" spans="1:17">
      <c r="A22" s="1124" t="s">
        <v>705</v>
      </c>
      <c r="B22" s="1124"/>
      <c r="C22" s="630">
        <v>2263</v>
      </c>
      <c r="D22" s="502">
        <v>2153</v>
      </c>
    </row>
    <row r="23" spans="1:17">
      <c r="A23" s="1124" t="s">
        <v>1041</v>
      </c>
      <c r="B23" s="1124"/>
      <c r="C23" s="630"/>
      <c r="D23" s="502">
        <v>456</v>
      </c>
    </row>
    <row r="24" spans="1:17">
      <c r="A24" s="1124" t="s">
        <v>1572</v>
      </c>
      <c r="B24" s="1124"/>
      <c r="C24" s="630">
        <v>-5716</v>
      </c>
      <c r="D24" s="502">
        <v>9896</v>
      </c>
    </row>
    <row r="25" spans="1:17">
      <c r="A25" s="1124" t="s">
        <v>1000</v>
      </c>
      <c r="B25" s="1124"/>
      <c r="C25" s="630">
        <v>315</v>
      </c>
      <c r="D25" s="502">
        <v>322</v>
      </c>
    </row>
    <row r="26" spans="1:17">
      <c r="A26" s="1141" t="s">
        <v>1001</v>
      </c>
      <c r="B26" s="1141"/>
      <c r="C26" s="625">
        <v>368</v>
      </c>
      <c r="D26" s="480">
        <v>493</v>
      </c>
    </row>
    <row r="27" spans="1:17">
      <c r="A27" s="1112" t="s">
        <v>620</v>
      </c>
      <c r="B27" s="1112"/>
      <c r="C27" s="630">
        <v>-3627</v>
      </c>
      <c r="D27" s="502">
        <v>20389</v>
      </c>
    </row>
    <row r="28" spans="1:17">
      <c r="A28" s="535"/>
      <c r="B28" s="535"/>
      <c r="C28" s="630"/>
      <c r="D28" s="502"/>
    </row>
    <row r="29" spans="1:17">
      <c r="A29" s="1125" t="s">
        <v>1547</v>
      </c>
      <c r="B29" s="1125"/>
      <c r="C29" s="639"/>
      <c r="D29" s="499"/>
    </row>
    <row r="30" spans="1:17">
      <c r="A30" s="1124" t="s">
        <v>910</v>
      </c>
      <c r="B30" s="1124"/>
      <c r="C30" s="630">
        <v>175</v>
      </c>
      <c r="D30" s="502">
        <v>153</v>
      </c>
    </row>
    <row r="31" spans="1:17">
      <c r="A31" s="1124" t="s">
        <v>1259</v>
      </c>
      <c r="B31" s="1124"/>
      <c r="C31" s="630">
        <v>119</v>
      </c>
      <c r="D31" s="502">
        <v>108</v>
      </c>
      <c r="E31" s="871"/>
      <c r="F31" s="871"/>
      <c r="G31" s="871"/>
      <c r="H31" s="871"/>
      <c r="I31" s="871"/>
      <c r="J31" s="871"/>
      <c r="K31" s="871"/>
      <c r="L31" s="871"/>
      <c r="M31" s="871"/>
      <c r="N31" s="871"/>
      <c r="O31" s="871"/>
      <c r="P31" s="871"/>
      <c r="Q31" s="871"/>
    </row>
    <row r="32" spans="1:17">
      <c r="A32" s="1124" t="s">
        <v>859</v>
      </c>
      <c r="B32" s="1124"/>
      <c r="C32" s="630">
        <v>96</v>
      </c>
      <c r="D32" s="502">
        <v>78</v>
      </c>
    </row>
    <row r="33" spans="1:17">
      <c r="A33" s="1124" t="s">
        <v>1108</v>
      </c>
      <c r="B33" s="1124"/>
      <c r="C33" s="630">
        <v>82</v>
      </c>
      <c r="D33" s="502">
        <v>74</v>
      </c>
    </row>
    <row r="34" spans="1:17">
      <c r="A34" s="1124" t="s">
        <v>1258</v>
      </c>
      <c r="B34" s="1124"/>
      <c r="C34" s="630">
        <v>78</v>
      </c>
      <c r="D34" s="502">
        <v>71</v>
      </c>
      <c r="E34" s="871"/>
      <c r="F34" s="871"/>
      <c r="G34" s="871"/>
      <c r="H34" s="871"/>
      <c r="I34" s="871"/>
      <c r="J34" s="871"/>
      <c r="K34" s="871"/>
      <c r="L34" s="871"/>
      <c r="M34" s="871"/>
      <c r="N34" s="871"/>
      <c r="O34" s="871"/>
      <c r="P34" s="871"/>
      <c r="Q34" s="871"/>
    </row>
    <row r="35" spans="1:17">
      <c r="A35" s="1124" t="s">
        <v>1257</v>
      </c>
      <c r="B35" s="1124"/>
      <c r="C35" s="630">
        <v>82</v>
      </c>
      <c r="D35" s="502">
        <v>72</v>
      </c>
      <c r="E35" s="871"/>
      <c r="F35" s="871"/>
      <c r="G35" s="871"/>
      <c r="H35" s="871"/>
      <c r="I35" s="871"/>
      <c r="J35" s="871"/>
      <c r="K35" s="871"/>
      <c r="L35" s="871"/>
      <c r="M35" s="871"/>
      <c r="N35" s="871"/>
      <c r="O35" s="871"/>
      <c r="P35" s="871"/>
      <c r="Q35" s="871"/>
    </row>
    <row r="36" spans="1:17">
      <c r="A36" s="1124" t="s">
        <v>1080</v>
      </c>
      <c r="B36" s="1124"/>
      <c r="C36" s="630">
        <v>94</v>
      </c>
      <c r="D36" s="502">
        <v>79</v>
      </c>
    </row>
    <row r="37" spans="1:17">
      <c r="A37" s="1124" t="s">
        <v>911</v>
      </c>
      <c r="B37" s="1124"/>
      <c r="C37" s="630">
        <v>103</v>
      </c>
      <c r="D37" s="502">
        <v>81</v>
      </c>
    </row>
    <row r="38" spans="1:17">
      <c r="A38" s="1125" t="s">
        <v>1260</v>
      </c>
      <c r="B38" s="1125"/>
      <c r="C38" s="639"/>
      <c r="D38" s="499"/>
    </row>
    <row r="39" spans="1:17">
      <c r="A39" s="1173" t="s">
        <v>1109</v>
      </c>
      <c r="B39" s="1173"/>
      <c r="C39" s="639"/>
      <c r="D39" s="499">
        <v>1</v>
      </c>
    </row>
    <row r="40" spans="1:17">
      <c r="A40" s="1286" t="s">
        <v>946</v>
      </c>
      <c r="B40" s="1286"/>
      <c r="C40" s="625"/>
      <c r="D40" s="480">
        <v>1</v>
      </c>
      <c r="E40" s="783"/>
      <c r="F40" s="783"/>
      <c r="G40" s="783"/>
      <c r="H40" s="783"/>
      <c r="I40" s="783"/>
      <c r="J40" s="783"/>
      <c r="K40" s="783"/>
      <c r="L40" s="783"/>
      <c r="M40" s="783"/>
      <c r="N40" s="783"/>
      <c r="O40" s="783"/>
      <c r="P40" s="783"/>
      <c r="Q40" s="783"/>
    </row>
    <row r="41" spans="1:17">
      <c r="A41" s="1112" t="s">
        <v>620</v>
      </c>
      <c r="B41" s="1112"/>
      <c r="C41" s="630">
        <v>829</v>
      </c>
      <c r="D41" s="502">
        <v>718</v>
      </c>
    </row>
    <row r="42" spans="1:17">
      <c r="A42" s="550"/>
      <c r="B42" s="550"/>
      <c r="C42" s="666"/>
      <c r="D42" s="479"/>
    </row>
    <row r="43" spans="1:17">
      <c r="A43" s="1169" t="s">
        <v>989</v>
      </c>
      <c r="B43" s="1244"/>
      <c r="C43" s="626">
        <v>-2798</v>
      </c>
      <c r="D43" s="526">
        <v>21107</v>
      </c>
    </row>
    <row r="44" spans="1:17">
      <c r="A44" s="355"/>
      <c r="B44" s="355"/>
      <c r="C44" s="259"/>
      <c r="D44" s="221"/>
    </row>
    <row r="45" spans="1:17" ht="21.75" customHeight="1">
      <c r="A45" s="1148" t="s">
        <v>1573</v>
      </c>
      <c r="B45" s="1148"/>
      <c r="C45" s="1148"/>
      <c r="D45" s="1148"/>
      <c r="E45" s="1056"/>
      <c r="F45" s="1056"/>
      <c r="G45" s="1056"/>
      <c r="H45" s="1056"/>
      <c r="I45" s="1056"/>
      <c r="J45" s="1056"/>
      <c r="K45" s="1056"/>
      <c r="L45" s="1056"/>
      <c r="M45" s="1056"/>
      <c r="N45" s="1056"/>
      <c r="O45" s="1056"/>
      <c r="P45" s="1056"/>
      <c r="Q45" s="1056"/>
    </row>
    <row r="46" spans="1:17">
      <c r="A46" s="1055"/>
      <c r="B46" s="1055"/>
      <c r="C46" s="259"/>
      <c r="D46" s="221"/>
      <c r="E46" s="1056"/>
      <c r="F46" s="1056"/>
      <c r="G46" s="1056"/>
      <c r="H46" s="1056"/>
      <c r="I46" s="1056"/>
      <c r="J46" s="1056"/>
      <c r="K46" s="1056"/>
      <c r="L46" s="1056"/>
      <c r="M46" s="1056"/>
      <c r="N46" s="1056"/>
      <c r="O46" s="1056"/>
      <c r="P46" s="1056"/>
      <c r="Q46" s="1056"/>
    </row>
    <row r="47" spans="1:17" ht="13.95" customHeight="1">
      <c r="A47" s="1148" t="s">
        <v>1560</v>
      </c>
      <c r="B47" s="1148"/>
      <c r="C47" s="1148"/>
      <c r="D47" s="1148"/>
    </row>
    <row r="48" spans="1:17">
      <c r="A48" s="278"/>
      <c r="B48" s="278"/>
      <c r="C48" s="278"/>
      <c r="D48" s="278"/>
    </row>
    <row r="49" spans="1:4" ht="33.75" customHeight="1">
      <c r="A49" s="1188" t="s">
        <v>1227</v>
      </c>
      <c r="B49" s="1188"/>
      <c r="C49" s="1188"/>
      <c r="D49" s="1188"/>
    </row>
    <row r="50" spans="1:4">
      <c r="A50" s="355"/>
      <c r="B50" s="355"/>
      <c r="C50" s="221"/>
      <c r="D50" s="221"/>
    </row>
    <row r="51" spans="1:4">
      <c r="A51" s="1233" t="s">
        <v>651</v>
      </c>
      <c r="B51" s="1233"/>
      <c r="C51" s="1233"/>
      <c r="D51" s="1233"/>
    </row>
    <row r="52" spans="1:4" ht="11.25" customHeight="1">
      <c r="A52" s="398"/>
      <c r="B52" s="399"/>
      <c r="C52" s="400"/>
      <c r="D52" s="400"/>
    </row>
    <row r="53" spans="1:4">
      <c r="A53" s="1282" t="s">
        <v>740</v>
      </c>
      <c r="B53" s="1287"/>
      <c r="C53" s="683">
        <v>2018</v>
      </c>
      <c r="D53" s="391">
        <v>2017</v>
      </c>
    </row>
    <row r="54" spans="1:4" ht="11.25" customHeight="1">
      <c r="A54" s="1125" t="s">
        <v>968</v>
      </c>
      <c r="B54" s="1125"/>
      <c r="C54" s="630">
        <v>40</v>
      </c>
      <c r="D54" s="502">
        <v>49</v>
      </c>
    </row>
    <row r="55" spans="1:4" ht="11.25" customHeight="1">
      <c r="A55" s="1125" t="s">
        <v>969</v>
      </c>
      <c r="B55" s="1125"/>
      <c r="C55" s="630">
        <v>27</v>
      </c>
      <c r="D55" s="502">
        <v>53</v>
      </c>
    </row>
    <row r="56" spans="1:4" ht="11.25" customHeight="1">
      <c r="A56" s="1125" t="s">
        <v>970</v>
      </c>
      <c r="B56" s="1125"/>
      <c r="C56" s="630">
        <v>10</v>
      </c>
      <c r="D56" s="502">
        <v>14</v>
      </c>
    </row>
    <row r="57" spans="1:4" ht="11.25" customHeight="1">
      <c r="A57" s="1125" t="s">
        <v>971</v>
      </c>
      <c r="B57" s="1125"/>
      <c r="C57" s="630"/>
      <c r="D57" s="502">
        <v>11</v>
      </c>
    </row>
    <row r="58" spans="1:4" ht="11.25" customHeight="1">
      <c r="A58" s="1125" t="s">
        <v>972</v>
      </c>
      <c r="B58" s="1125"/>
      <c r="C58" s="630">
        <v>7</v>
      </c>
      <c r="D58" s="502">
        <v>8</v>
      </c>
    </row>
    <row r="59" spans="1:4">
      <c r="A59" s="234"/>
      <c r="B59" s="234"/>
      <c r="C59" s="221"/>
      <c r="D59" s="221"/>
    </row>
    <row r="60" spans="1:4" ht="11.25" customHeight="1">
      <c r="A60" s="1148" t="s">
        <v>1546</v>
      </c>
      <c r="B60" s="1148"/>
      <c r="C60" s="1148"/>
      <c r="D60" s="1148"/>
    </row>
    <row r="61" spans="1:4">
      <c r="A61" s="355"/>
      <c r="B61" s="355"/>
      <c r="C61" s="221"/>
      <c r="D61" s="221"/>
    </row>
  </sheetData>
  <mergeCells count="49">
    <mergeCell ref="A54:B54"/>
    <mergeCell ref="A43:B43"/>
    <mergeCell ref="A55:B55"/>
    <mergeCell ref="A45:D45"/>
    <mergeCell ref="A47:D47"/>
    <mergeCell ref="A49:D49"/>
    <mergeCell ref="A60:D60"/>
    <mergeCell ref="A58:B58"/>
    <mergeCell ref="A25:B25"/>
    <mergeCell ref="A26:B26"/>
    <mergeCell ref="A30:B30"/>
    <mergeCell ref="A31:B31"/>
    <mergeCell ref="A32:B32"/>
    <mergeCell ref="A39:B39"/>
    <mergeCell ref="A40:B40"/>
    <mergeCell ref="A33:B33"/>
    <mergeCell ref="A34:B34"/>
    <mergeCell ref="A35:B35"/>
    <mergeCell ref="A56:B56"/>
    <mergeCell ref="A51:D51"/>
    <mergeCell ref="A57:B57"/>
    <mergeCell ref="A53:B53"/>
    <mergeCell ref="A23:B23"/>
    <mergeCell ref="A24:B24"/>
    <mergeCell ref="A29:B29"/>
    <mergeCell ref="A15:B15"/>
    <mergeCell ref="A38:B38"/>
    <mergeCell ref="A21:B21"/>
    <mergeCell ref="A1:D1"/>
    <mergeCell ref="A9:B9"/>
    <mergeCell ref="A5:B5"/>
    <mergeCell ref="A8:B8"/>
    <mergeCell ref="A3:D3"/>
    <mergeCell ref="A41:B41"/>
    <mergeCell ref="C7:D7"/>
    <mergeCell ref="A27:B27"/>
    <mergeCell ref="A14:B14"/>
    <mergeCell ref="A16:B16"/>
    <mergeCell ref="A17:B17"/>
    <mergeCell ref="A18:B18"/>
    <mergeCell ref="A20:B20"/>
    <mergeCell ref="A36:B36"/>
    <mergeCell ref="A19:B19"/>
    <mergeCell ref="A10:B10"/>
    <mergeCell ref="A11:B11"/>
    <mergeCell ref="A12:B12"/>
    <mergeCell ref="A13:B13"/>
    <mergeCell ref="A37:B37"/>
    <mergeCell ref="A22:B22"/>
  </mergeCells>
  <phoneticPr fontId="0" type="noConversion"/>
  <pageMargins left="0.74803149606299213" right="0.74803149606299213" top="0.98425196850393704" bottom="0.98425196850393704" header="0.51181102362204722" footer="0.51181102362204722"/>
  <pageSetup scale="87" orientation="portrait" horizontalDpi="300" r:id="rId1"/>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Q61"/>
  <sheetViews>
    <sheetView zoomScaleNormal="100" workbookViewId="0">
      <selection sqref="A1:C1"/>
    </sheetView>
  </sheetViews>
  <sheetFormatPr defaultColWidth="8.7109375" defaultRowHeight="10.199999999999999"/>
  <cols>
    <col min="1" max="1" width="118.28515625" style="225" customWidth="1"/>
    <col min="2" max="2" width="3.28515625" style="225" customWidth="1"/>
    <col min="3" max="3" width="8.28515625" style="231" customWidth="1"/>
    <col min="4" max="17" width="3.7109375" style="243" customWidth="1"/>
    <col min="18" max="16384" width="8.7109375" style="1079"/>
  </cols>
  <sheetData>
    <row r="1" spans="1:3" ht="15.6">
      <c r="A1" s="1151" t="s">
        <v>378</v>
      </c>
      <c r="B1" s="1151"/>
      <c r="C1" s="1151"/>
    </row>
    <row r="2" spans="1:3">
      <c r="A2" s="220"/>
      <c r="B2" s="219"/>
      <c r="C2" s="244"/>
    </row>
    <row r="3" spans="1:3">
      <c r="A3" s="245" t="s">
        <v>379</v>
      </c>
      <c r="B3" s="246"/>
      <c r="C3" s="221"/>
    </row>
    <row r="4" spans="1:3">
      <c r="A4" s="459" t="s">
        <v>380</v>
      </c>
      <c r="B4" s="482"/>
      <c r="C4" s="1152" t="s">
        <v>28</v>
      </c>
    </row>
    <row r="5" spans="1:3">
      <c r="A5" s="252" t="s">
        <v>919</v>
      </c>
      <c r="B5" s="253"/>
      <c r="C5" s="1152"/>
    </row>
    <row r="6" spans="1:3">
      <c r="A6" s="227"/>
      <c r="B6" s="227"/>
      <c r="C6" s="221"/>
    </row>
    <row r="7" spans="1:3">
      <c r="A7" s="245" t="s">
        <v>381</v>
      </c>
      <c r="B7" s="246"/>
      <c r="C7" s="221"/>
    </row>
    <row r="8" spans="1:3">
      <c r="A8" s="478" t="s">
        <v>1262</v>
      </c>
      <c r="B8" s="482"/>
      <c r="C8" s="1152" t="s">
        <v>28</v>
      </c>
    </row>
    <row r="9" spans="1:3">
      <c r="A9" s="228" t="s">
        <v>364</v>
      </c>
      <c r="B9" s="253"/>
      <c r="C9" s="1152"/>
    </row>
    <row r="10" spans="1:3">
      <c r="A10" s="227"/>
      <c r="B10" s="227"/>
      <c r="C10" s="221"/>
    </row>
    <row r="11" spans="1:3">
      <c r="A11" s="245" t="s">
        <v>572</v>
      </c>
      <c r="B11" s="246"/>
      <c r="C11" s="221"/>
    </row>
    <row r="12" spans="1:3">
      <c r="A12" s="459" t="s">
        <v>967</v>
      </c>
      <c r="B12" s="482"/>
      <c r="C12" s="247"/>
    </row>
    <row r="13" spans="1:3">
      <c r="A13" s="252" t="s">
        <v>365</v>
      </c>
      <c r="B13" s="253"/>
      <c r="C13" s="247"/>
    </row>
    <row r="14" spans="1:3">
      <c r="A14" s="227"/>
      <c r="B14" s="227"/>
      <c r="C14" s="221"/>
    </row>
    <row r="15" spans="1:3">
      <c r="A15" s="245" t="s">
        <v>720</v>
      </c>
      <c r="B15" s="246"/>
      <c r="C15" s="221"/>
    </row>
    <row r="16" spans="1:3">
      <c r="A16" s="459" t="s">
        <v>366</v>
      </c>
      <c r="B16" s="482"/>
      <c r="C16" s="1152" t="s">
        <v>28</v>
      </c>
    </row>
    <row r="17" spans="1:17">
      <c r="A17" s="252" t="s">
        <v>794</v>
      </c>
      <c r="B17" s="253"/>
      <c r="C17" s="1152"/>
    </row>
    <row r="18" spans="1:17">
      <c r="A18" s="227"/>
      <c r="B18" s="227"/>
      <c r="C18" s="221"/>
    </row>
    <row r="19" spans="1:17">
      <c r="A19" s="245" t="s">
        <v>269</v>
      </c>
      <c r="B19" s="246"/>
      <c r="C19" s="221"/>
    </row>
    <row r="20" spans="1:17">
      <c r="A20" s="459" t="s">
        <v>795</v>
      </c>
      <c r="B20" s="482"/>
      <c r="C20" s="205"/>
      <c r="D20" s="205"/>
      <c r="E20" s="205"/>
      <c r="F20" s="205"/>
      <c r="G20" s="205"/>
      <c r="H20" s="205"/>
      <c r="I20" s="205"/>
      <c r="J20" s="205"/>
      <c r="K20" s="205"/>
      <c r="L20" s="205"/>
      <c r="M20" s="205"/>
      <c r="N20" s="205"/>
      <c r="O20" s="205"/>
      <c r="P20" s="205"/>
      <c r="Q20" s="205"/>
    </row>
    <row r="21" spans="1:17">
      <c r="A21" s="252" t="s">
        <v>366</v>
      </c>
      <c r="B21" s="253"/>
      <c r="C21" s="205"/>
      <c r="D21" s="205"/>
      <c r="E21" s="205"/>
      <c r="F21" s="205"/>
      <c r="G21" s="205"/>
      <c r="H21" s="205"/>
      <c r="I21" s="205"/>
      <c r="J21" s="205"/>
      <c r="K21" s="205"/>
      <c r="L21" s="205"/>
      <c r="M21" s="205"/>
      <c r="N21" s="205"/>
      <c r="O21" s="205"/>
      <c r="P21" s="205"/>
      <c r="Q21" s="205"/>
    </row>
    <row r="22" spans="1:17">
      <c r="A22" s="227"/>
      <c r="B22" s="227"/>
      <c r="C22" s="205"/>
      <c r="D22" s="205"/>
      <c r="E22" s="205"/>
      <c r="F22" s="205"/>
      <c r="G22" s="205"/>
      <c r="H22" s="205"/>
      <c r="I22" s="205"/>
      <c r="J22" s="205"/>
      <c r="K22" s="205"/>
      <c r="L22" s="205"/>
      <c r="M22" s="205"/>
      <c r="N22" s="205"/>
      <c r="O22" s="205"/>
      <c r="P22" s="205"/>
      <c r="Q22" s="205"/>
    </row>
    <row r="23" spans="1:17">
      <c r="A23" s="245" t="s">
        <v>1077</v>
      </c>
      <c r="B23" s="246"/>
      <c r="C23" s="205"/>
      <c r="D23" s="205"/>
      <c r="E23" s="205"/>
      <c r="F23" s="205"/>
      <c r="G23" s="205"/>
      <c r="H23" s="205"/>
      <c r="I23" s="205"/>
      <c r="J23" s="205"/>
      <c r="K23" s="205"/>
      <c r="L23" s="205"/>
      <c r="M23" s="205"/>
      <c r="N23" s="205"/>
      <c r="O23" s="205"/>
      <c r="P23" s="205"/>
      <c r="Q23" s="205"/>
    </row>
    <row r="24" spans="1:17">
      <c r="A24" s="459" t="s">
        <v>1263</v>
      </c>
      <c r="B24" s="477"/>
      <c r="C24" s="205"/>
      <c r="D24" s="205"/>
      <c r="E24" s="205"/>
      <c r="F24" s="205"/>
      <c r="G24" s="205"/>
      <c r="H24" s="205"/>
      <c r="I24" s="205"/>
      <c r="J24" s="205"/>
      <c r="K24" s="205"/>
      <c r="L24" s="205"/>
      <c r="M24" s="205"/>
      <c r="N24" s="205"/>
      <c r="O24" s="205"/>
      <c r="P24" s="205"/>
      <c r="Q24" s="205"/>
    </row>
    <row r="25" spans="1:17">
      <c r="A25" s="252" t="s">
        <v>867</v>
      </c>
      <c r="B25" s="227"/>
      <c r="C25" s="205"/>
      <c r="D25" s="205"/>
      <c r="E25" s="205"/>
      <c r="F25" s="205"/>
      <c r="G25" s="205"/>
      <c r="H25" s="205"/>
      <c r="I25" s="205"/>
      <c r="J25" s="205"/>
      <c r="K25" s="205"/>
      <c r="L25" s="205"/>
      <c r="M25" s="205"/>
      <c r="N25" s="205"/>
      <c r="O25" s="205"/>
      <c r="P25" s="205"/>
      <c r="Q25" s="205"/>
    </row>
    <row r="26" spans="1:17">
      <c r="A26" s="227"/>
      <c r="B26" s="227"/>
      <c r="C26" s="205"/>
      <c r="D26" s="205"/>
      <c r="E26" s="205"/>
      <c r="F26" s="205"/>
      <c r="G26" s="205"/>
      <c r="H26" s="205"/>
      <c r="I26" s="205"/>
      <c r="J26" s="205"/>
      <c r="K26" s="205"/>
      <c r="L26" s="205"/>
      <c r="M26" s="205"/>
      <c r="N26" s="205"/>
      <c r="O26" s="205"/>
      <c r="P26" s="205"/>
      <c r="Q26" s="205"/>
    </row>
    <row r="27" spans="1:17">
      <c r="A27" s="245" t="s">
        <v>721</v>
      </c>
      <c r="B27" s="246"/>
      <c r="C27" s="205"/>
      <c r="D27" s="205"/>
      <c r="E27" s="205"/>
      <c r="F27" s="205"/>
      <c r="G27" s="205"/>
      <c r="H27" s="205"/>
      <c r="I27" s="205"/>
      <c r="J27" s="205"/>
      <c r="K27" s="205"/>
      <c r="L27" s="205"/>
      <c r="M27" s="205"/>
      <c r="N27" s="205"/>
      <c r="O27" s="205"/>
      <c r="P27" s="205"/>
      <c r="Q27" s="205"/>
    </row>
    <row r="28" spans="1:17">
      <c r="A28" s="478" t="s">
        <v>868</v>
      </c>
      <c r="B28" s="482"/>
      <c r="C28" s="205"/>
      <c r="D28" s="205"/>
      <c r="E28" s="205"/>
      <c r="F28" s="205"/>
      <c r="G28" s="205"/>
      <c r="H28" s="205"/>
      <c r="I28" s="205"/>
      <c r="J28" s="205"/>
      <c r="K28" s="205"/>
      <c r="L28" s="205"/>
      <c r="M28" s="205"/>
      <c r="N28" s="205"/>
      <c r="O28" s="205"/>
      <c r="P28" s="205"/>
      <c r="Q28" s="205"/>
    </row>
    <row r="29" spans="1:17">
      <c r="A29" s="228" t="s">
        <v>494</v>
      </c>
      <c r="B29" s="253"/>
      <c r="C29" s="205"/>
      <c r="D29" s="205"/>
      <c r="E29" s="205"/>
      <c r="F29" s="205"/>
      <c r="G29" s="205"/>
      <c r="H29" s="205"/>
      <c r="I29" s="205"/>
      <c r="J29" s="205"/>
      <c r="K29" s="205"/>
      <c r="L29" s="205"/>
      <c r="M29" s="205"/>
      <c r="N29" s="205"/>
      <c r="O29" s="205"/>
      <c r="P29" s="205"/>
      <c r="Q29" s="205"/>
    </row>
    <row r="30" spans="1:17">
      <c r="A30" s="227"/>
      <c r="B30" s="227"/>
      <c r="C30" s="205"/>
      <c r="D30" s="205"/>
      <c r="E30" s="205"/>
      <c r="F30" s="205"/>
      <c r="G30" s="205"/>
      <c r="H30" s="205"/>
      <c r="I30" s="205"/>
      <c r="J30" s="205"/>
      <c r="K30" s="205"/>
      <c r="L30" s="205"/>
      <c r="M30" s="205"/>
      <c r="N30" s="205"/>
      <c r="O30" s="205"/>
      <c r="P30" s="205"/>
      <c r="Q30" s="205"/>
    </row>
    <row r="31" spans="1:17">
      <c r="A31" s="245" t="s">
        <v>718</v>
      </c>
      <c r="B31" s="246"/>
      <c r="C31" s="205"/>
      <c r="D31" s="205"/>
      <c r="E31" s="205"/>
      <c r="F31" s="205"/>
      <c r="G31" s="205"/>
      <c r="H31" s="205"/>
      <c r="I31" s="205"/>
      <c r="J31" s="205"/>
      <c r="K31" s="205"/>
      <c r="L31" s="205"/>
      <c r="M31" s="205"/>
      <c r="N31" s="205"/>
      <c r="O31" s="205"/>
      <c r="P31" s="205"/>
      <c r="Q31" s="205"/>
    </row>
    <row r="32" spans="1:17">
      <c r="A32" s="459" t="s">
        <v>495</v>
      </c>
      <c r="B32" s="482"/>
      <c r="C32" s="205"/>
      <c r="D32" s="205"/>
      <c r="E32" s="205"/>
      <c r="F32" s="205"/>
      <c r="G32" s="205"/>
      <c r="H32" s="205"/>
      <c r="I32" s="205"/>
      <c r="J32" s="205"/>
      <c r="K32" s="205"/>
      <c r="L32" s="205"/>
      <c r="M32" s="205"/>
      <c r="N32" s="205"/>
      <c r="O32" s="205"/>
      <c r="P32" s="205"/>
      <c r="Q32" s="205"/>
    </row>
    <row r="33" spans="1:17">
      <c r="A33" s="252" t="s">
        <v>494</v>
      </c>
      <c r="B33" s="253"/>
      <c r="C33" s="205"/>
      <c r="D33" s="205"/>
      <c r="E33" s="205"/>
      <c r="F33" s="205"/>
      <c r="G33" s="205"/>
      <c r="H33" s="205"/>
      <c r="I33" s="205"/>
      <c r="J33" s="205"/>
      <c r="K33" s="205"/>
      <c r="L33" s="205"/>
      <c r="M33" s="205"/>
      <c r="N33" s="205"/>
      <c r="O33" s="205"/>
      <c r="P33" s="205"/>
      <c r="Q33" s="205"/>
    </row>
    <row r="34" spans="1:17">
      <c r="A34" s="227"/>
      <c r="B34" s="227"/>
      <c r="C34" s="221"/>
    </row>
    <row r="35" spans="1:17">
      <c r="A35" s="245" t="s">
        <v>719</v>
      </c>
      <c r="B35" s="246"/>
      <c r="C35" s="221"/>
    </row>
    <row r="36" spans="1:17">
      <c r="A36" s="459" t="s">
        <v>496</v>
      </c>
      <c r="B36" s="482"/>
      <c r="C36" s="1152" t="s">
        <v>28</v>
      </c>
    </row>
    <row r="37" spans="1:17">
      <c r="A37" s="252" t="s">
        <v>1111</v>
      </c>
      <c r="B37" s="253"/>
      <c r="C37" s="1152"/>
    </row>
    <row r="38" spans="1:17">
      <c r="A38" s="227"/>
      <c r="B38" s="227"/>
      <c r="C38" s="221"/>
    </row>
    <row r="39" spans="1:17">
      <c r="A39" s="245" t="s">
        <v>497</v>
      </c>
      <c r="B39" s="246"/>
      <c r="C39" s="221"/>
    </row>
    <row r="40" spans="1:17">
      <c r="A40" s="459" t="s">
        <v>496</v>
      </c>
      <c r="B40" s="482"/>
      <c r="C40" s="1152" t="s">
        <v>28</v>
      </c>
    </row>
    <row r="41" spans="1:17">
      <c r="A41" s="252" t="s">
        <v>1112</v>
      </c>
      <c r="B41" s="253"/>
      <c r="C41" s="1152"/>
    </row>
    <row r="42" spans="1:17">
      <c r="A42" s="227"/>
      <c r="B42" s="227"/>
      <c r="C42" s="221"/>
    </row>
    <row r="43" spans="1:17">
      <c r="A43" s="245" t="s">
        <v>498</v>
      </c>
      <c r="B43" s="246"/>
      <c r="C43" s="205"/>
      <c r="D43" s="205"/>
      <c r="E43" s="205"/>
      <c r="F43" s="205"/>
      <c r="G43" s="205"/>
      <c r="H43" s="205"/>
      <c r="I43" s="205"/>
      <c r="J43" s="205"/>
      <c r="K43" s="205"/>
      <c r="L43" s="205"/>
      <c r="M43" s="205"/>
      <c r="N43" s="205"/>
      <c r="O43" s="205"/>
    </row>
    <row r="44" spans="1:17">
      <c r="A44" s="478" t="s">
        <v>1112</v>
      </c>
      <c r="B44" s="482"/>
      <c r="C44" s="205"/>
      <c r="D44" s="205"/>
      <c r="E44" s="205"/>
      <c r="F44" s="205"/>
      <c r="G44" s="205"/>
      <c r="H44" s="205"/>
      <c r="I44" s="205"/>
      <c r="J44" s="205"/>
      <c r="K44" s="205"/>
      <c r="L44" s="205"/>
      <c r="M44" s="205"/>
      <c r="N44" s="205"/>
      <c r="O44" s="205"/>
    </row>
    <row r="45" spans="1:17">
      <c r="A45" s="228" t="s">
        <v>1111</v>
      </c>
      <c r="B45" s="253"/>
      <c r="C45" s="205"/>
      <c r="D45" s="205"/>
      <c r="E45" s="205"/>
      <c r="F45" s="205"/>
      <c r="G45" s="205"/>
      <c r="H45" s="205"/>
      <c r="I45" s="205"/>
      <c r="J45" s="205"/>
      <c r="K45" s="205"/>
      <c r="L45" s="205"/>
      <c r="M45" s="205"/>
      <c r="N45" s="205"/>
      <c r="O45" s="205"/>
    </row>
    <row r="46" spans="1:17">
      <c r="A46" s="227"/>
      <c r="B46" s="227"/>
      <c r="C46" s="205"/>
      <c r="D46" s="205"/>
      <c r="E46" s="205"/>
      <c r="F46" s="205"/>
      <c r="G46" s="205"/>
      <c r="H46" s="205"/>
      <c r="I46" s="205"/>
      <c r="J46" s="205"/>
      <c r="K46" s="205"/>
      <c r="L46" s="205"/>
      <c r="M46" s="205"/>
      <c r="N46" s="205"/>
      <c r="O46" s="205"/>
    </row>
    <row r="47" spans="1:17">
      <c r="A47" s="249" t="s">
        <v>499</v>
      </c>
      <c r="B47" s="250"/>
      <c r="C47" s="205"/>
      <c r="D47" s="205"/>
      <c r="E47" s="205"/>
      <c r="F47" s="205"/>
      <c r="G47" s="205"/>
      <c r="H47" s="205"/>
      <c r="I47" s="205"/>
      <c r="J47" s="205"/>
      <c r="K47" s="205"/>
      <c r="L47" s="205"/>
      <c r="M47" s="205"/>
      <c r="N47" s="205"/>
      <c r="O47" s="205"/>
      <c r="P47" s="251"/>
      <c r="Q47" s="251"/>
    </row>
    <row r="48" spans="1:17">
      <c r="A48" s="459" t="s">
        <v>1112</v>
      </c>
      <c r="B48" s="477"/>
      <c r="C48" s="205"/>
      <c r="D48" s="205"/>
      <c r="E48" s="205"/>
      <c r="F48" s="205"/>
      <c r="G48" s="205"/>
      <c r="H48" s="205"/>
      <c r="I48" s="205"/>
      <c r="J48" s="205"/>
      <c r="K48" s="205"/>
      <c r="L48" s="205"/>
      <c r="M48" s="205"/>
      <c r="N48" s="205"/>
      <c r="O48" s="205"/>
    </row>
    <row r="49" spans="1:15">
      <c r="A49" s="252" t="s">
        <v>500</v>
      </c>
      <c r="B49" s="227"/>
      <c r="C49" s="205"/>
      <c r="D49" s="205"/>
      <c r="E49" s="205"/>
      <c r="F49" s="205"/>
      <c r="G49" s="205"/>
      <c r="H49" s="205"/>
      <c r="I49" s="205"/>
      <c r="J49" s="205"/>
      <c r="K49" s="205"/>
      <c r="L49" s="205"/>
      <c r="M49" s="205"/>
      <c r="N49" s="205"/>
      <c r="O49" s="205"/>
    </row>
    <row r="50" spans="1:15">
      <c r="A50" s="227"/>
      <c r="B50" s="227"/>
      <c r="C50" s="205"/>
      <c r="D50" s="205"/>
      <c r="E50" s="205"/>
      <c r="F50" s="205"/>
      <c r="G50" s="205"/>
      <c r="H50" s="205"/>
      <c r="I50" s="205"/>
      <c r="J50" s="205"/>
      <c r="K50" s="205"/>
      <c r="L50" s="205"/>
      <c r="M50" s="205"/>
      <c r="N50" s="205"/>
      <c r="O50" s="205"/>
    </row>
    <row r="51" spans="1:15">
      <c r="A51" s="245" t="s">
        <v>959</v>
      </c>
      <c r="B51" s="246"/>
      <c r="C51" s="205"/>
      <c r="D51" s="205"/>
      <c r="E51" s="205"/>
      <c r="F51" s="205"/>
      <c r="G51" s="205"/>
      <c r="H51" s="205"/>
      <c r="I51" s="205"/>
      <c r="J51" s="205"/>
      <c r="K51" s="205"/>
      <c r="L51" s="205"/>
      <c r="M51" s="205"/>
      <c r="N51" s="205"/>
      <c r="O51" s="205"/>
    </row>
    <row r="52" spans="1:15" ht="22.5" customHeight="1">
      <c r="A52" s="1150" t="s">
        <v>1307</v>
      </c>
      <c r="B52" s="1150"/>
      <c r="C52" s="1150"/>
    </row>
    <row r="53" spans="1:15" ht="11.25" customHeight="1">
      <c r="A53" s="791"/>
      <c r="B53" s="791"/>
      <c r="C53" s="791"/>
    </row>
    <row r="54" spans="1:15" ht="11.25" customHeight="1">
      <c r="A54" s="245" t="s">
        <v>1182</v>
      </c>
      <c r="B54" s="791"/>
      <c r="C54" s="791"/>
    </row>
    <row r="55" spans="1:15" ht="11.25" customHeight="1">
      <c r="A55" s="1149" t="s">
        <v>1186</v>
      </c>
      <c r="B55" s="1149"/>
      <c r="C55" s="1149"/>
    </row>
    <row r="56" spans="1:15" ht="11.25" customHeight="1">
      <c r="A56" s="227"/>
      <c r="B56" s="227"/>
      <c r="C56" s="221"/>
    </row>
    <row r="57" spans="1:15" ht="11.25" customHeight="1">
      <c r="A57" s="245" t="s">
        <v>1183</v>
      </c>
      <c r="B57" s="246"/>
      <c r="C57" s="221"/>
    </row>
    <row r="58" spans="1:15" ht="11.25" customHeight="1">
      <c r="A58" s="1149" t="s">
        <v>1187</v>
      </c>
      <c r="B58" s="1149"/>
      <c r="C58" s="1149"/>
    </row>
    <row r="59" spans="1:15" ht="11.25" customHeight="1">
      <c r="A59" s="220"/>
      <c r="B59" s="220"/>
      <c r="C59" s="221"/>
    </row>
    <row r="60" spans="1:15" ht="11.25" customHeight="1">
      <c r="A60" s="245" t="s">
        <v>1188</v>
      </c>
    </row>
    <row r="61" spans="1:15" ht="21" customHeight="1">
      <c r="A61" s="1148" t="s">
        <v>1189</v>
      </c>
      <c r="B61" s="1148"/>
      <c r="C61" s="1148"/>
    </row>
  </sheetData>
  <mergeCells count="10">
    <mergeCell ref="A61:C61"/>
    <mergeCell ref="A58:C58"/>
    <mergeCell ref="A52:C52"/>
    <mergeCell ref="A1:C1"/>
    <mergeCell ref="C40:C41"/>
    <mergeCell ref="C36:C37"/>
    <mergeCell ref="C4:C5"/>
    <mergeCell ref="C8:C9"/>
    <mergeCell ref="C16:C17"/>
    <mergeCell ref="A55:C55"/>
  </mergeCells>
  <phoneticPr fontId="49" type="noConversion"/>
  <pageMargins left="0.75" right="0.75" top="1" bottom="1" header="0.5" footer="0.5"/>
  <pageSetup paperSize="9" scale="84" orientation="portrait" r:id="rId1"/>
  <headerFooter alignWithMargins="0"/>
  <customProperties>
    <customPr name="WORKBKFUNCTIONCACHE" r:id="rId2"/>
  </customProperties>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9"/>
  <dimension ref="A1:Q193"/>
  <sheetViews>
    <sheetView zoomScaleNormal="100" workbookViewId="0">
      <selection sqref="A1:E1"/>
    </sheetView>
  </sheetViews>
  <sheetFormatPr defaultColWidth="8.7109375" defaultRowHeight="10.199999999999999"/>
  <cols>
    <col min="1" max="1" width="70" style="205" customWidth="1"/>
    <col min="2" max="5" width="15" style="205" customWidth="1"/>
    <col min="6" max="17" width="3.7109375" style="831" customWidth="1"/>
    <col min="18" max="16384" width="8.7109375" style="1079"/>
  </cols>
  <sheetData>
    <row r="1" spans="1:17" ht="15.75" customHeight="1">
      <c r="A1" s="1288" t="s">
        <v>1392</v>
      </c>
      <c r="B1" s="1289"/>
      <c r="C1" s="1289"/>
      <c r="D1" s="1289"/>
      <c r="E1" s="1289"/>
    </row>
    <row r="2" spans="1:17" ht="12" customHeight="1">
      <c r="A2" s="721"/>
      <c r="B2" s="860"/>
      <c r="C2" s="860"/>
      <c r="D2" s="859"/>
      <c r="E2" s="859"/>
    </row>
    <row r="3" spans="1:17" ht="12.75" customHeight="1">
      <c r="A3" s="1290" t="s">
        <v>1091</v>
      </c>
      <c r="B3" s="1291"/>
      <c r="C3" s="1291"/>
      <c r="D3" s="1290"/>
      <c r="E3" s="1290"/>
    </row>
    <row r="4" spans="1:17" ht="12.75" customHeight="1">
      <c r="A4" s="942"/>
      <c r="B4" s="949"/>
      <c r="C4" s="949"/>
      <c r="D4" s="943"/>
      <c r="E4" s="943"/>
      <c r="F4" s="944"/>
      <c r="G4" s="944"/>
      <c r="H4" s="944"/>
      <c r="I4" s="944"/>
      <c r="J4" s="944"/>
      <c r="K4" s="944"/>
      <c r="L4" s="944"/>
      <c r="M4" s="944"/>
      <c r="N4" s="944"/>
      <c r="O4" s="944"/>
      <c r="P4" s="944"/>
      <c r="Q4" s="944"/>
    </row>
    <row r="5" spans="1:17" ht="21.75" customHeight="1">
      <c r="A5" s="1198" t="s">
        <v>1205</v>
      </c>
      <c r="B5" s="1292"/>
      <c r="C5" s="1292"/>
      <c r="D5" s="1188"/>
      <c r="E5" s="1188"/>
    </row>
    <row r="6" spans="1:17">
      <c r="A6" s="722"/>
      <c r="B6" s="723"/>
      <c r="C6" s="723"/>
      <c r="D6" s="324"/>
      <c r="E6" s="324"/>
    </row>
    <row r="7" spans="1:17" ht="22.5" customHeight="1">
      <c r="A7" s="1198" t="s">
        <v>1206</v>
      </c>
      <c r="B7" s="1292"/>
      <c r="C7" s="1292"/>
      <c r="D7" s="1188"/>
      <c r="E7" s="1188"/>
    </row>
    <row r="8" spans="1:17">
      <c r="A8" s="722"/>
      <c r="B8" s="723"/>
      <c r="C8" s="723"/>
      <c r="D8" s="324"/>
      <c r="E8" s="324"/>
    </row>
    <row r="9" spans="1:17" ht="22.5" customHeight="1">
      <c r="A9" s="1198" t="s">
        <v>1137</v>
      </c>
      <c r="B9" s="1292"/>
      <c r="C9" s="1292"/>
      <c r="D9" s="1148"/>
      <c r="E9" s="1148"/>
    </row>
    <row r="10" spans="1:17">
      <c r="A10" s="722"/>
      <c r="B10" s="723"/>
      <c r="C10" s="723"/>
      <c r="D10" s="324"/>
      <c r="E10" s="324"/>
    </row>
    <row r="11" spans="1:17">
      <c r="A11" s="1298" t="s">
        <v>1092</v>
      </c>
      <c r="B11" s="1299"/>
      <c r="C11" s="1299"/>
      <c r="D11" s="1298"/>
      <c r="E11" s="1298"/>
    </row>
    <row r="12" spans="1:17">
      <c r="A12" s="947"/>
      <c r="B12" s="948"/>
      <c r="C12" s="948"/>
      <c r="D12" s="941"/>
      <c r="E12" s="941"/>
      <c r="F12" s="944"/>
      <c r="G12" s="944"/>
      <c r="H12" s="944"/>
      <c r="I12" s="944"/>
      <c r="J12" s="944"/>
      <c r="K12" s="944"/>
      <c r="L12" s="944"/>
      <c r="M12" s="944"/>
      <c r="N12" s="944"/>
      <c r="O12" s="944"/>
      <c r="P12" s="944"/>
      <c r="Q12" s="944"/>
    </row>
    <row r="13" spans="1:17" ht="71.25" customHeight="1">
      <c r="A13" s="1148" t="s">
        <v>1524</v>
      </c>
      <c r="B13" s="1148"/>
      <c r="C13" s="1148"/>
      <c r="D13" s="1148"/>
      <c r="E13" s="1148"/>
    </row>
    <row r="14" spans="1:17">
      <c r="A14" s="722"/>
      <c r="B14" s="1052"/>
      <c r="C14" s="1052"/>
      <c r="D14" s="1047"/>
      <c r="E14" s="1047"/>
    </row>
    <row r="15" spans="1:17" ht="57.75" customHeight="1">
      <c r="A15" s="1148" t="s">
        <v>1662</v>
      </c>
      <c r="B15" s="1148"/>
      <c r="C15" s="1148"/>
      <c r="D15" s="1148"/>
      <c r="E15" s="1148"/>
      <c r="F15" s="1049"/>
      <c r="G15" s="1049"/>
      <c r="H15" s="1049"/>
      <c r="I15" s="1049"/>
      <c r="J15" s="1049"/>
      <c r="K15" s="1049"/>
      <c r="L15" s="1049"/>
      <c r="M15" s="1049"/>
      <c r="N15" s="1049"/>
      <c r="O15" s="1049"/>
      <c r="P15" s="1049"/>
      <c r="Q15" s="1049"/>
    </row>
    <row r="16" spans="1:17">
      <c r="A16" s="722"/>
      <c r="B16" s="1052"/>
      <c r="C16" s="1052"/>
      <c r="D16" s="1047"/>
      <c r="E16" s="1047"/>
      <c r="F16" s="1049"/>
      <c r="G16" s="1049"/>
      <c r="H16" s="1049"/>
      <c r="I16" s="1049"/>
      <c r="J16" s="1049"/>
      <c r="K16" s="1049"/>
      <c r="L16" s="1049"/>
      <c r="M16" s="1049"/>
      <c r="N16" s="1049"/>
      <c r="O16" s="1049"/>
      <c r="P16" s="1049"/>
      <c r="Q16" s="1049"/>
    </row>
    <row r="17" spans="1:17" ht="36" customHeight="1">
      <c r="A17" s="1148" t="s">
        <v>1523</v>
      </c>
      <c r="B17" s="1148"/>
      <c r="C17" s="1148"/>
      <c r="D17" s="1148"/>
      <c r="E17" s="1148"/>
      <c r="F17" s="1049"/>
      <c r="G17" s="1049"/>
      <c r="H17" s="1049"/>
      <c r="I17" s="1049"/>
      <c r="J17" s="1049"/>
      <c r="K17" s="1049"/>
      <c r="L17" s="1049"/>
      <c r="M17" s="1049"/>
      <c r="N17" s="1049"/>
      <c r="O17" s="1049"/>
      <c r="P17" s="1049"/>
      <c r="Q17" s="1049"/>
    </row>
    <row r="18" spans="1:17">
      <c r="A18" s="722"/>
      <c r="B18" s="1052"/>
      <c r="C18" s="1052"/>
      <c r="D18" s="1047"/>
      <c r="E18" s="1047"/>
      <c r="F18" s="1049"/>
      <c r="G18" s="1049"/>
      <c r="H18" s="1049"/>
      <c r="I18" s="1049"/>
      <c r="J18" s="1049"/>
      <c r="K18" s="1049"/>
      <c r="L18" s="1049"/>
      <c r="M18" s="1049"/>
      <c r="N18" s="1049"/>
      <c r="O18" s="1049"/>
      <c r="P18" s="1049"/>
      <c r="Q18" s="1049"/>
    </row>
    <row r="19" spans="1:17" ht="67.5" customHeight="1">
      <c r="A19" s="1148" t="s">
        <v>1426</v>
      </c>
      <c r="B19" s="1292"/>
      <c r="C19" s="1292"/>
      <c r="D19" s="1188"/>
      <c r="E19" s="1188"/>
      <c r="F19" s="918"/>
      <c r="G19" s="918"/>
      <c r="H19" s="918"/>
      <c r="I19" s="918"/>
      <c r="J19" s="918"/>
      <c r="K19" s="918"/>
      <c r="L19" s="918"/>
      <c r="M19" s="918"/>
      <c r="N19" s="918"/>
      <c r="O19" s="918"/>
      <c r="P19" s="918"/>
      <c r="Q19" s="918"/>
    </row>
    <row r="20" spans="1:17">
      <c r="A20" s="722"/>
      <c r="B20" s="1052"/>
      <c r="C20" s="1052"/>
      <c r="D20" s="1047"/>
      <c r="E20" s="1047"/>
      <c r="F20" s="918"/>
      <c r="G20" s="918"/>
      <c r="H20" s="918"/>
      <c r="I20" s="918"/>
      <c r="J20" s="918"/>
      <c r="K20" s="918"/>
      <c r="L20" s="918"/>
      <c r="M20" s="918"/>
      <c r="N20" s="918"/>
      <c r="O20" s="918"/>
      <c r="P20" s="918"/>
      <c r="Q20" s="918"/>
    </row>
    <row r="21" spans="1:17" ht="45" customHeight="1">
      <c r="A21" s="1148" t="s">
        <v>1427</v>
      </c>
      <c r="B21" s="1292"/>
      <c r="C21" s="1292"/>
      <c r="D21" s="1188"/>
      <c r="E21" s="1188"/>
      <c r="F21" s="918"/>
      <c r="G21" s="918"/>
      <c r="H21" s="918"/>
      <c r="I21" s="918"/>
      <c r="J21" s="918"/>
      <c r="K21" s="918"/>
      <c r="L21" s="918"/>
      <c r="M21" s="918"/>
      <c r="N21" s="918"/>
      <c r="O21" s="918"/>
      <c r="P21" s="918"/>
      <c r="Q21" s="918"/>
    </row>
    <row r="22" spans="1:17">
      <c r="A22" s="722"/>
      <c r="B22" s="1052"/>
      <c r="C22" s="1052"/>
      <c r="D22" s="1047"/>
      <c r="E22" s="1047"/>
      <c r="F22" s="918"/>
      <c r="G22" s="918"/>
      <c r="H22" s="918"/>
      <c r="I22" s="918"/>
      <c r="J22" s="918"/>
      <c r="K22" s="918"/>
      <c r="L22" s="918"/>
      <c r="M22" s="918"/>
      <c r="N22" s="918"/>
      <c r="O22" s="918"/>
      <c r="P22" s="918"/>
      <c r="Q22" s="918"/>
    </row>
    <row r="23" spans="1:17" ht="22.5" customHeight="1">
      <c r="A23" s="1198" t="s">
        <v>1445</v>
      </c>
      <c r="B23" s="1292"/>
      <c r="C23" s="1292"/>
      <c r="D23" s="1148"/>
      <c r="E23" s="1148"/>
    </row>
    <row r="24" spans="1:17">
      <c r="A24" s="1047"/>
      <c r="B24" s="1047"/>
      <c r="C24" s="1047"/>
      <c r="D24" s="1047"/>
      <c r="E24" s="1047"/>
    </row>
    <row r="25" spans="1:17" ht="22.5" customHeight="1">
      <c r="A25" s="1198" t="s">
        <v>1549</v>
      </c>
      <c r="B25" s="1148"/>
      <c r="C25" s="1148"/>
      <c r="D25" s="1148"/>
      <c r="E25" s="1148"/>
    </row>
    <row r="26" spans="1:17">
      <c r="A26" s="1047"/>
      <c r="B26" s="1047"/>
      <c r="C26" s="1047"/>
      <c r="D26" s="1047"/>
      <c r="E26" s="1047"/>
    </row>
    <row r="27" spans="1:17" ht="55.95" customHeight="1">
      <c r="A27" s="1188" t="s">
        <v>1663</v>
      </c>
      <c r="B27" s="1188"/>
      <c r="C27" s="1188"/>
      <c r="D27" s="1188"/>
      <c r="E27" s="1188"/>
    </row>
    <row r="28" spans="1:17">
      <c r="A28" s="1047"/>
      <c r="B28" s="1047"/>
      <c r="C28" s="1047"/>
      <c r="D28" s="1047"/>
      <c r="E28" s="1047"/>
    </row>
    <row r="29" spans="1:17" ht="39" customHeight="1">
      <c r="A29" s="1187" t="s">
        <v>1606</v>
      </c>
      <c r="B29" s="1188"/>
      <c r="C29" s="1188"/>
      <c r="D29" s="1188"/>
      <c r="E29" s="1188"/>
    </row>
    <row r="30" spans="1:17">
      <c r="A30" s="709"/>
      <c r="B30" s="207"/>
      <c r="C30" s="207"/>
      <c r="D30" s="207"/>
      <c r="E30" s="207"/>
    </row>
    <row r="31" spans="1:17">
      <c r="A31" s="1301" t="s">
        <v>837</v>
      </c>
      <c r="B31" s="1301" t="s">
        <v>534</v>
      </c>
      <c r="C31" s="1301" t="s">
        <v>838</v>
      </c>
      <c r="D31" s="1301">
        <v>0</v>
      </c>
      <c r="E31" s="1301">
        <v>0</v>
      </c>
      <c r="F31" s="927"/>
      <c r="G31" s="927"/>
      <c r="H31" s="927"/>
      <c r="I31" s="927"/>
      <c r="J31" s="927"/>
      <c r="K31" s="927"/>
      <c r="L31" s="927"/>
      <c r="M31" s="927"/>
      <c r="N31" s="927"/>
      <c r="O31" s="927"/>
      <c r="P31" s="927"/>
      <c r="Q31" s="927"/>
    </row>
    <row r="32" spans="1:17">
      <c r="A32" s="925"/>
      <c r="B32" s="409"/>
      <c r="C32" s="409"/>
      <c r="D32" s="409"/>
      <c r="E32" s="409"/>
      <c r="F32" s="927"/>
      <c r="G32" s="927"/>
      <c r="H32" s="927"/>
      <c r="I32" s="927"/>
      <c r="J32" s="927"/>
      <c r="K32" s="927"/>
      <c r="L32" s="927"/>
      <c r="M32" s="927"/>
      <c r="N32" s="927"/>
      <c r="O32" s="927"/>
      <c r="P32" s="927"/>
      <c r="Q32" s="927"/>
    </row>
    <row r="33" spans="1:17" ht="67.5" customHeight="1">
      <c r="A33" s="931" t="s">
        <v>740</v>
      </c>
      <c r="B33" s="932"/>
      <c r="C33" s="932"/>
      <c r="D33" s="926" t="s">
        <v>1306</v>
      </c>
      <c r="E33" s="926" t="s">
        <v>1044</v>
      </c>
      <c r="F33" s="927"/>
      <c r="G33" s="927"/>
      <c r="H33" s="927"/>
      <c r="I33" s="927"/>
      <c r="J33" s="927"/>
      <c r="K33" s="927"/>
      <c r="L33" s="927"/>
      <c r="M33" s="927"/>
      <c r="N33" s="927"/>
      <c r="O33" s="927"/>
      <c r="P33" s="927"/>
      <c r="Q33" s="927"/>
    </row>
    <row r="34" spans="1:17">
      <c r="A34" s="559" t="s">
        <v>837</v>
      </c>
      <c r="B34" s="930"/>
      <c r="C34" s="930"/>
      <c r="D34" s="630"/>
      <c r="E34" s="630"/>
      <c r="F34" s="927"/>
      <c r="G34" s="927"/>
      <c r="H34" s="927"/>
      <c r="I34" s="927"/>
      <c r="J34" s="927"/>
      <c r="K34" s="927"/>
      <c r="L34" s="927"/>
      <c r="M34" s="927"/>
      <c r="N34" s="927"/>
      <c r="O34" s="927"/>
      <c r="P34" s="927"/>
      <c r="Q34" s="927"/>
    </row>
    <row r="35" spans="1:17">
      <c r="A35" s="559" t="s">
        <v>879</v>
      </c>
      <c r="B35" s="930"/>
      <c r="C35" s="930"/>
      <c r="D35" s="630">
        <v>877</v>
      </c>
      <c r="E35" s="630">
        <v>335</v>
      </c>
      <c r="F35" s="927"/>
      <c r="G35" s="927"/>
      <c r="H35" s="927"/>
      <c r="I35" s="927"/>
      <c r="J35" s="927"/>
      <c r="K35" s="927"/>
      <c r="L35" s="927"/>
      <c r="M35" s="927"/>
      <c r="N35" s="927"/>
      <c r="O35" s="927"/>
      <c r="P35" s="927"/>
      <c r="Q35" s="927"/>
    </row>
    <row r="36" spans="1:17">
      <c r="A36" s="559" t="s">
        <v>880</v>
      </c>
      <c r="B36" s="930"/>
      <c r="C36" s="930"/>
      <c r="D36" s="630">
        <v>971</v>
      </c>
      <c r="E36" s="630">
        <v>13</v>
      </c>
      <c r="F36" s="927"/>
      <c r="G36" s="927"/>
      <c r="H36" s="927"/>
      <c r="I36" s="927"/>
      <c r="J36" s="927"/>
      <c r="K36" s="927"/>
      <c r="L36" s="927"/>
      <c r="M36" s="927"/>
      <c r="N36" s="927"/>
      <c r="O36" s="927"/>
      <c r="P36" s="927"/>
      <c r="Q36" s="927"/>
    </row>
    <row r="37" spans="1:17">
      <c r="A37" s="559" t="s">
        <v>881</v>
      </c>
      <c r="B37" s="930"/>
      <c r="C37" s="930"/>
      <c r="D37" s="630">
        <v>29</v>
      </c>
      <c r="E37" s="630">
        <v>310</v>
      </c>
      <c r="F37" s="927"/>
      <c r="G37" s="927"/>
      <c r="H37" s="927"/>
      <c r="I37" s="927"/>
      <c r="J37" s="927"/>
      <c r="K37" s="927"/>
      <c r="L37" s="927"/>
      <c r="M37" s="927"/>
      <c r="N37" s="927"/>
      <c r="O37" s="927"/>
      <c r="P37" s="927"/>
      <c r="Q37" s="927"/>
    </row>
    <row r="38" spans="1:17">
      <c r="A38" s="559" t="s">
        <v>677</v>
      </c>
      <c r="B38" s="930"/>
      <c r="C38" s="930"/>
      <c r="D38" s="630">
        <v>171</v>
      </c>
      <c r="E38" s="630"/>
      <c r="F38" s="927"/>
      <c r="G38" s="927"/>
      <c r="H38" s="927"/>
      <c r="I38" s="927"/>
      <c r="J38" s="927"/>
      <c r="K38" s="927"/>
      <c r="L38" s="927"/>
      <c r="M38" s="927"/>
      <c r="N38" s="927"/>
      <c r="O38" s="927"/>
      <c r="P38" s="927"/>
      <c r="Q38" s="927"/>
    </row>
    <row r="39" spans="1:17">
      <c r="A39" s="559" t="s">
        <v>5</v>
      </c>
      <c r="B39" s="930"/>
      <c r="C39" s="930"/>
      <c r="D39" s="630">
        <v>16</v>
      </c>
      <c r="E39" s="630"/>
      <c r="F39" s="927"/>
      <c r="G39" s="927"/>
      <c r="H39" s="927"/>
      <c r="I39" s="927"/>
      <c r="J39" s="927"/>
      <c r="K39" s="927"/>
      <c r="L39" s="927"/>
      <c r="M39" s="927"/>
      <c r="N39" s="927"/>
      <c r="O39" s="927"/>
      <c r="P39" s="927"/>
      <c r="Q39" s="927"/>
    </row>
    <row r="40" spans="1:17">
      <c r="A40" s="559" t="s">
        <v>882</v>
      </c>
      <c r="B40" s="930"/>
      <c r="C40" s="930"/>
      <c r="D40" s="630">
        <v>1</v>
      </c>
      <c r="E40" s="630">
        <v>35</v>
      </c>
      <c r="F40" s="927"/>
      <c r="G40" s="927"/>
      <c r="H40" s="927"/>
      <c r="I40" s="927"/>
      <c r="J40" s="927"/>
      <c r="K40" s="927"/>
      <c r="L40" s="927"/>
      <c r="M40" s="927"/>
      <c r="N40" s="927"/>
      <c r="O40" s="927"/>
      <c r="P40" s="927"/>
      <c r="Q40" s="927"/>
    </row>
    <row r="41" spans="1:17">
      <c r="A41" s="559" t="s">
        <v>994</v>
      </c>
      <c r="B41" s="930"/>
      <c r="C41" s="930"/>
      <c r="D41" s="630">
        <v>6</v>
      </c>
      <c r="E41" s="630"/>
      <c r="F41" s="927"/>
      <c r="G41" s="927"/>
      <c r="H41" s="927"/>
      <c r="I41" s="927"/>
      <c r="J41" s="927"/>
      <c r="K41" s="927"/>
      <c r="L41" s="927"/>
      <c r="M41" s="927"/>
      <c r="N41" s="927"/>
      <c r="O41" s="927"/>
      <c r="P41" s="927"/>
      <c r="Q41" s="927"/>
    </row>
    <row r="42" spans="1:17">
      <c r="A42" s="559" t="s">
        <v>4</v>
      </c>
      <c r="B42" s="930"/>
      <c r="C42" s="930"/>
      <c r="D42" s="630">
        <v>7</v>
      </c>
      <c r="E42" s="630">
        <v>43</v>
      </c>
      <c r="F42" s="927"/>
      <c r="G42" s="927"/>
      <c r="H42" s="927"/>
      <c r="I42" s="927"/>
      <c r="J42" s="927"/>
      <c r="K42" s="927"/>
      <c r="L42" s="927"/>
      <c r="M42" s="927"/>
      <c r="N42" s="927"/>
      <c r="O42" s="927"/>
      <c r="P42" s="927"/>
      <c r="Q42" s="927"/>
    </row>
    <row r="43" spans="1:17">
      <c r="A43" s="1057" t="s">
        <v>912</v>
      </c>
      <c r="B43" s="930"/>
      <c r="C43" s="930"/>
      <c r="D43" s="630">
        <v>11</v>
      </c>
      <c r="E43" s="630"/>
      <c r="F43" s="1059"/>
      <c r="G43" s="1059"/>
      <c r="H43" s="1059"/>
      <c r="I43" s="1059"/>
      <c r="J43" s="1059"/>
      <c r="K43" s="1059"/>
      <c r="L43" s="1059"/>
      <c r="M43" s="1059"/>
      <c r="N43" s="1059"/>
      <c r="O43" s="1059"/>
      <c r="P43" s="1059"/>
      <c r="Q43" s="1059"/>
    </row>
    <row r="44" spans="1:17">
      <c r="A44" s="567" t="s">
        <v>1070</v>
      </c>
      <c r="B44" s="929"/>
      <c r="C44" s="929"/>
      <c r="D44" s="625">
        <v>148</v>
      </c>
      <c r="E44" s="625">
        <v>36</v>
      </c>
      <c r="F44" s="927"/>
      <c r="G44" s="927"/>
      <c r="H44" s="927"/>
      <c r="I44" s="927"/>
      <c r="J44" s="927"/>
      <c r="K44" s="927"/>
      <c r="L44" s="927"/>
      <c r="M44" s="927"/>
      <c r="N44" s="927"/>
      <c r="O44" s="927"/>
      <c r="P44" s="927"/>
      <c r="Q44" s="927"/>
    </row>
    <row r="45" spans="1:17">
      <c r="A45" s="894" t="s">
        <v>620</v>
      </c>
      <c r="B45" s="928"/>
      <c r="C45" s="928"/>
      <c r="D45" s="626">
        <v>2236</v>
      </c>
      <c r="E45" s="626">
        <v>772</v>
      </c>
      <c r="F45" s="927"/>
      <c r="G45" s="927"/>
      <c r="H45" s="927"/>
      <c r="I45" s="927"/>
      <c r="J45" s="927"/>
      <c r="K45" s="927"/>
      <c r="L45" s="927"/>
      <c r="M45" s="927"/>
      <c r="N45" s="927"/>
      <c r="O45" s="927"/>
      <c r="P45" s="927"/>
      <c r="Q45" s="927"/>
    </row>
    <row r="46" spans="1:17">
      <c r="A46" s="925"/>
      <c r="B46" s="409"/>
      <c r="C46" s="409"/>
      <c r="D46" s="409"/>
      <c r="E46" s="409"/>
      <c r="F46" s="927"/>
      <c r="G46" s="927"/>
      <c r="H46" s="927"/>
      <c r="I46" s="927"/>
      <c r="J46" s="927"/>
      <c r="K46" s="927"/>
      <c r="L46" s="927"/>
      <c r="M46" s="927"/>
      <c r="N46" s="927"/>
      <c r="O46" s="927"/>
      <c r="P46" s="927"/>
      <c r="Q46" s="927"/>
    </row>
    <row r="47" spans="1:17">
      <c r="A47" s="1300" t="s">
        <v>1324</v>
      </c>
      <c r="B47" s="1300" t="s">
        <v>1069</v>
      </c>
      <c r="C47" s="1300" t="s">
        <v>1068</v>
      </c>
      <c r="D47" s="1300">
        <v>0</v>
      </c>
      <c r="E47" s="1300">
        <v>0</v>
      </c>
      <c r="F47" s="927"/>
      <c r="G47" s="927"/>
      <c r="H47" s="927"/>
      <c r="I47" s="927"/>
      <c r="J47" s="927"/>
      <c r="K47" s="927"/>
      <c r="L47" s="927"/>
      <c r="M47" s="927"/>
      <c r="N47" s="927"/>
      <c r="O47" s="927"/>
      <c r="P47" s="927"/>
      <c r="Q47" s="927"/>
    </row>
    <row r="48" spans="1:17">
      <c r="A48" s="1013"/>
      <c r="B48" s="1013"/>
      <c r="C48" s="1013"/>
      <c r="D48" s="1013"/>
      <c r="E48" s="1013"/>
      <c r="F48" s="1012"/>
      <c r="G48" s="1012"/>
      <c r="H48" s="1012"/>
      <c r="I48" s="1012"/>
      <c r="J48" s="1012"/>
      <c r="K48" s="1012"/>
      <c r="L48" s="1012"/>
      <c r="M48" s="1012"/>
      <c r="N48" s="1012"/>
      <c r="O48" s="1012"/>
      <c r="P48" s="1012"/>
      <c r="Q48" s="1012"/>
    </row>
    <row r="49" spans="1:17" ht="11.25" customHeight="1">
      <c r="A49" s="1195" t="s">
        <v>1440</v>
      </c>
      <c r="B49" s="1195" t="s">
        <v>1439</v>
      </c>
      <c r="C49" s="1195" t="s">
        <v>1619</v>
      </c>
      <c r="D49" s="1195">
        <v>0</v>
      </c>
      <c r="E49" s="1195">
        <v>0</v>
      </c>
      <c r="F49" s="1012"/>
      <c r="G49" s="1012"/>
      <c r="H49" s="1012"/>
      <c r="I49" s="1012"/>
      <c r="J49" s="1012"/>
      <c r="K49" s="1012"/>
      <c r="L49" s="1012"/>
      <c r="M49" s="1012"/>
      <c r="N49" s="1012"/>
      <c r="O49" s="1012"/>
      <c r="P49" s="1012"/>
      <c r="Q49" s="1012"/>
    </row>
    <row r="50" spans="1:17">
      <c r="A50" s="925"/>
      <c r="B50" s="409"/>
      <c r="C50" s="409"/>
      <c r="D50" s="409"/>
      <c r="E50" s="409"/>
      <c r="F50" s="927"/>
      <c r="G50" s="927"/>
      <c r="H50" s="927"/>
      <c r="I50" s="927"/>
      <c r="J50" s="927"/>
      <c r="K50" s="927"/>
      <c r="L50" s="927"/>
      <c r="M50" s="927"/>
      <c r="N50" s="927"/>
      <c r="O50" s="927"/>
      <c r="P50" s="927"/>
      <c r="Q50" s="927"/>
    </row>
    <row r="51" spans="1:17" ht="33.75" customHeight="1">
      <c r="A51" s="1187" t="s">
        <v>1607</v>
      </c>
      <c r="B51" s="1188"/>
      <c r="C51" s="1188"/>
      <c r="D51" s="1188"/>
      <c r="E51" s="1188"/>
      <c r="F51" s="885"/>
      <c r="G51" s="885"/>
      <c r="H51" s="885"/>
      <c r="I51" s="885"/>
      <c r="J51" s="885"/>
      <c r="K51" s="885"/>
      <c r="L51" s="885"/>
      <c r="M51" s="885"/>
      <c r="N51" s="885"/>
      <c r="O51" s="885"/>
      <c r="P51" s="885"/>
      <c r="Q51" s="885"/>
    </row>
    <row r="52" spans="1:17" ht="11.25" customHeight="1">
      <c r="A52" s="914"/>
      <c r="B52" s="915"/>
      <c r="C52" s="915"/>
      <c r="D52" s="915"/>
      <c r="E52" s="915"/>
      <c r="F52" s="918"/>
      <c r="G52" s="918"/>
      <c r="H52" s="918"/>
      <c r="I52" s="918"/>
      <c r="J52" s="918"/>
      <c r="K52" s="918"/>
      <c r="L52" s="918"/>
      <c r="M52" s="918"/>
      <c r="N52" s="918"/>
      <c r="O52" s="918"/>
      <c r="P52" s="918"/>
      <c r="Q52" s="918"/>
    </row>
    <row r="53" spans="1:17" ht="33.75" customHeight="1">
      <c r="A53" s="575" t="s">
        <v>740</v>
      </c>
      <c r="B53" s="599"/>
      <c r="C53" s="934" t="s">
        <v>1319</v>
      </c>
      <c r="D53" s="934" t="s">
        <v>1320</v>
      </c>
      <c r="E53" s="934" t="s">
        <v>1321</v>
      </c>
      <c r="F53" s="918"/>
      <c r="G53" s="918"/>
      <c r="H53" s="918"/>
      <c r="I53" s="918"/>
      <c r="J53" s="918"/>
      <c r="K53" s="918"/>
      <c r="L53" s="918"/>
      <c r="M53" s="918"/>
      <c r="N53" s="918"/>
      <c r="O53" s="918"/>
      <c r="P53" s="918"/>
      <c r="Q53" s="918"/>
    </row>
    <row r="54" spans="1:17" ht="11.25" customHeight="1">
      <c r="A54" s="916" t="s">
        <v>1326</v>
      </c>
      <c r="B54" s="916"/>
      <c r="C54" s="663"/>
      <c r="D54" s="663"/>
      <c r="E54" s="663"/>
      <c r="F54" s="918"/>
      <c r="G54" s="918"/>
      <c r="H54" s="918"/>
      <c r="I54" s="918"/>
      <c r="J54" s="918"/>
      <c r="K54" s="918"/>
      <c r="L54" s="918"/>
      <c r="M54" s="918"/>
      <c r="N54" s="918"/>
      <c r="O54" s="918"/>
      <c r="P54" s="918"/>
      <c r="Q54" s="918"/>
    </row>
    <row r="55" spans="1:17" ht="11.25" customHeight="1">
      <c r="A55" s="1094" t="s">
        <v>879</v>
      </c>
      <c r="B55" s="916"/>
      <c r="C55" s="663">
        <v>678</v>
      </c>
      <c r="D55" s="663">
        <v>529</v>
      </c>
      <c r="E55" s="663">
        <v>26</v>
      </c>
      <c r="F55" s="918"/>
      <c r="G55" s="918"/>
      <c r="H55" s="918"/>
      <c r="I55" s="918"/>
      <c r="J55" s="918"/>
      <c r="K55" s="918"/>
      <c r="L55" s="918"/>
      <c r="M55" s="918"/>
      <c r="N55" s="918"/>
      <c r="O55" s="918"/>
      <c r="P55" s="918"/>
      <c r="Q55" s="918"/>
    </row>
    <row r="56" spans="1:17" ht="11.25" customHeight="1">
      <c r="A56" s="1094" t="s">
        <v>880</v>
      </c>
      <c r="B56" s="916"/>
      <c r="C56" s="663">
        <v>1276</v>
      </c>
      <c r="D56" s="663">
        <v>399</v>
      </c>
      <c r="E56" s="663">
        <v>20</v>
      </c>
      <c r="F56" s="918"/>
      <c r="G56" s="918"/>
      <c r="H56" s="918"/>
      <c r="I56" s="918"/>
      <c r="J56" s="918"/>
      <c r="K56" s="918"/>
      <c r="L56" s="918"/>
      <c r="M56" s="918"/>
      <c r="N56" s="918"/>
      <c r="O56" s="918"/>
      <c r="P56" s="918"/>
      <c r="Q56" s="918"/>
    </row>
    <row r="57" spans="1:17" ht="11.25" customHeight="1">
      <c r="A57" s="1094" t="s">
        <v>677</v>
      </c>
      <c r="B57" s="916"/>
      <c r="C57" s="663">
        <v>124</v>
      </c>
      <c r="D57" s="663">
        <v>122</v>
      </c>
      <c r="E57" s="663">
        <v>6</v>
      </c>
      <c r="F57" s="918"/>
      <c r="G57" s="918"/>
      <c r="H57" s="918"/>
      <c r="I57" s="918"/>
      <c r="J57" s="918"/>
      <c r="K57" s="918"/>
      <c r="L57" s="918"/>
      <c r="M57" s="918"/>
      <c r="N57" s="918"/>
      <c r="O57" s="918"/>
      <c r="P57" s="918"/>
      <c r="Q57" s="918"/>
    </row>
    <row r="58" spans="1:17" ht="11.25" customHeight="1">
      <c r="A58" s="1094" t="s">
        <v>1550</v>
      </c>
      <c r="B58" s="916"/>
      <c r="C58" s="663">
        <v>124</v>
      </c>
      <c r="D58" s="663">
        <v>49</v>
      </c>
      <c r="E58" s="663">
        <v>2</v>
      </c>
      <c r="F58" s="918"/>
      <c r="G58" s="918"/>
      <c r="H58" s="918"/>
      <c r="I58" s="918"/>
      <c r="J58" s="918"/>
      <c r="K58" s="918"/>
      <c r="L58" s="918"/>
      <c r="M58" s="918"/>
      <c r="N58" s="918"/>
      <c r="O58" s="918"/>
      <c r="P58" s="918"/>
      <c r="Q58" s="918"/>
    </row>
    <row r="59" spans="1:17" ht="11.25" customHeight="1">
      <c r="A59" s="1094" t="s">
        <v>4</v>
      </c>
      <c r="B59" s="916"/>
      <c r="C59" s="663">
        <v>32</v>
      </c>
      <c r="D59" s="663">
        <v>26</v>
      </c>
      <c r="E59" s="663">
        <v>1</v>
      </c>
      <c r="F59" s="918"/>
      <c r="G59" s="918"/>
      <c r="H59" s="918"/>
      <c r="I59" s="918"/>
      <c r="J59" s="918"/>
      <c r="K59" s="918"/>
      <c r="L59" s="918"/>
      <c r="M59" s="918"/>
      <c r="N59" s="918"/>
      <c r="O59" s="918"/>
      <c r="P59" s="918"/>
      <c r="Q59" s="918"/>
    </row>
    <row r="60" spans="1:17" ht="11.25" customHeight="1">
      <c r="A60" s="1094" t="s">
        <v>881</v>
      </c>
      <c r="B60" s="916"/>
      <c r="C60" s="663">
        <v>26</v>
      </c>
      <c r="D60" s="663">
        <v>17</v>
      </c>
      <c r="E60" s="663">
        <v>1</v>
      </c>
      <c r="F60" s="918"/>
      <c r="G60" s="918"/>
      <c r="H60" s="918"/>
      <c r="I60" s="918"/>
      <c r="J60" s="918"/>
      <c r="K60" s="918"/>
      <c r="L60" s="918"/>
      <c r="M60" s="918"/>
      <c r="N60" s="918"/>
      <c r="O60" s="918"/>
      <c r="P60" s="918"/>
      <c r="Q60" s="918"/>
    </row>
    <row r="61" spans="1:17" ht="11.25" customHeight="1">
      <c r="A61" s="1095" t="s">
        <v>654</v>
      </c>
      <c r="B61" s="569"/>
      <c r="C61" s="664">
        <v>94</v>
      </c>
      <c r="D61" s="664">
        <v>61</v>
      </c>
      <c r="E61" s="664">
        <v>3</v>
      </c>
      <c r="F61" s="918"/>
      <c r="G61" s="918"/>
      <c r="H61" s="918"/>
      <c r="I61" s="918"/>
      <c r="J61" s="918"/>
      <c r="K61" s="918"/>
      <c r="L61" s="918"/>
      <c r="M61" s="918"/>
      <c r="N61" s="918"/>
      <c r="O61" s="918"/>
      <c r="P61" s="918"/>
      <c r="Q61" s="918"/>
    </row>
    <row r="62" spans="1:17" ht="11.25" customHeight="1">
      <c r="A62" s="917" t="s">
        <v>620</v>
      </c>
      <c r="B62" s="919"/>
      <c r="C62" s="920">
        <v>2355</v>
      </c>
      <c r="D62" s="920">
        <v>1203</v>
      </c>
      <c r="E62" s="920">
        <v>60</v>
      </c>
      <c r="F62" s="918"/>
      <c r="G62" s="918"/>
      <c r="H62" s="918"/>
      <c r="I62" s="918"/>
      <c r="J62" s="918"/>
      <c r="K62" s="918"/>
      <c r="L62" s="918"/>
      <c r="M62" s="918"/>
      <c r="N62" s="918"/>
      <c r="O62" s="918"/>
      <c r="P62" s="918"/>
      <c r="Q62" s="918"/>
    </row>
    <row r="63" spans="1:17" ht="11.25" customHeight="1">
      <c r="A63" s="914"/>
      <c r="B63" s="915"/>
      <c r="C63" s="915"/>
      <c r="D63" s="915"/>
      <c r="E63" s="915"/>
      <c r="F63" s="918"/>
      <c r="G63" s="918"/>
      <c r="H63" s="918"/>
      <c r="I63" s="918"/>
      <c r="J63" s="918"/>
      <c r="K63" s="918"/>
      <c r="L63" s="918"/>
      <c r="M63" s="918"/>
      <c r="N63" s="918"/>
      <c r="O63" s="918"/>
      <c r="P63" s="918"/>
      <c r="Q63" s="918"/>
    </row>
    <row r="64" spans="1:17" ht="11.25" customHeight="1">
      <c r="A64" s="1187" t="s">
        <v>1323</v>
      </c>
      <c r="B64" s="1187" t="s">
        <v>1346</v>
      </c>
      <c r="C64" s="1187" t="s">
        <v>1325</v>
      </c>
      <c r="D64" s="1187">
        <v>0</v>
      </c>
      <c r="E64" s="1187">
        <v>0</v>
      </c>
      <c r="F64" s="918"/>
      <c r="G64" s="918"/>
      <c r="H64" s="918"/>
      <c r="I64" s="918"/>
      <c r="J64" s="918"/>
      <c r="K64" s="918"/>
      <c r="L64" s="918"/>
      <c r="M64" s="918"/>
      <c r="N64" s="918"/>
      <c r="O64" s="918"/>
      <c r="P64" s="918"/>
      <c r="Q64" s="918"/>
    </row>
    <row r="65" spans="1:17" ht="11.25" customHeight="1">
      <c r="A65" s="914"/>
      <c r="B65" s="915"/>
      <c r="C65" s="915"/>
      <c r="D65" s="915"/>
      <c r="E65" s="915"/>
      <c r="F65" s="918"/>
      <c r="G65" s="918"/>
      <c r="H65" s="918"/>
      <c r="I65" s="918"/>
      <c r="J65" s="918"/>
      <c r="K65" s="918"/>
      <c r="L65" s="918"/>
      <c r="M65" s="918"/>
      <c r="N65" s="918"/>
      <c r="O65" s="918"/>
      <c r="P65" s="918"/>
      <c r="Q65" s="918"/>
    </row>
    <row r="66" spans="1:17" ht="11.25" customHeight="1">
      <c r="A66" s="575" t="s">
        <v>740</v>
      </c>
      <c r="B66" s="599"/>
      <c r="C66" s="599"/>
      <c r="D66" s="599"/>
      <c r="E66" s="599"/>
      <c r="F66" s="918"/>
      <c r="G66" s="918"/>
      <c r="H66" s="918"/>
      <c r="I66" s="918"/>
      <c r="J66" s="918"/>
      <c r="K66" s="918"/>
      <c r="L66" s="918"/>
      <c r="M66" s="918"/>
      <c r="N66" s="918"/>
      <c r="O66" s="918"/>
      <c r="P66" s="918"/>
      <c r="Q66" s="918"/>
    </row>
    <row r="67" spans="1:17" ht="11.25" customHeight="1">
      <c r="A67" s="916" t="s">
        <v>1428</v>
      </c>
      <c r="B67" s="916"/>
      <c r="C67" s="916"/>
      <c r="D67" s="916"/>
      <c r="E67" s="803"/>
      <c r="F67" s="918"/>
      <c r="G67" s="918"/>
      <c r="H67" s="918"/>
      <c r="I67" s="918"/>
      <c r="J67" s="918"/>
      <c r="K67" s="918"/>
      <c r="L67" s="918"/>
      <c r="M67" s="918"/>
      <c r="N67" s="918"/>
      <c r="O67" s="918"/>
      <c r="P67" s="918"/>
      <c r="Q67" s="918"/>
    </row>
    <row r="68" spans="1:17" ht="11.25" customHeight="1">
      <c r="A68" s="1096" t="s">
        <v>1356</v>
      </c>
      <c r="B68" s="916"/>
      <c r="C68" s="916"/>
      <c r="D68" s="916"/>
      <c r="E68" s="663">
        <v>2355</v>
      </c>
      <c r="F68" s="918"/>
      <c r="G68" s="918"/>
      <c r="H68" s="918"/>
      <c r="I68" s="918"/>
      <c r="J68" s="918"/>
      <c r="K68" s="918"/>
      <c r="L68" s="918"/>
      <c r="M68" s="918"/>
      <c r="N68" s="918"/>
      <c r="O68" s="918"/>
      <c r="P68" s="918"/>
      <c r="Q68" s="918"/>
    </row>
    <row r="69" spans="1:17" ht="11.25" customHeight="1">
      <c r="A69" s="916" t="s">
        <v>1327</v>
      </c>
      <c r="B69" s="916"/>
      <c r="C69" s="916"/>
      <c r="D69" s="916"/>
      <c r="E69" s="663"/>
      <c r="F69" s="918"/>
      <c r="G69" s="918"/>
      <c r="H69" s="918"/>
      <c r="I69" s="918"/>
      <c r="J69" s="918"/>
      <c r="K69" s="918"/>
      <c r="L69" s="918"/>
      <c r="M69" s="918"/>
      <c r="N69" s="918"/>
      <c r="O69" s="918"/>
      <c r="P69" s="918"/>
      <c r="Q69" s="918"/>
    </row>
    <row r="70" spans="1:17" ht="11.25" customHeight="1">
      <c r="A70" s="1094">
        <v>2019</v>
      </c>
      <c r="B70" s="916"/>
      <c r="C70" s="916"/>
      <c r="D70" s="916"/>
      <c r="E70" s="663">
        <v>1540</v>
      </c>
      <c r="F70" s="918"/>
      <c r="G70" s="918"/>
      <c r="H70" s="918"/>
      <c r="I70" s="918"/>
      <c r="J70" s="918"/>
      <c r="K70" s="918"/>
      <c r="L70" s="918"/>
      <c r="M70" s="918"/>
      <c r="N70" s="918"/>
      <c r="O70" s="918"/>
      <c r="P70" s="918"/>
      <c r="Q70" s="918"/>
    </row>
    <row r="71" spans="1:17" ht="11.25" customHeight="1">
      <c r="A71" s="1094">
        <v>2020</v>
      </c>
      <c r="B71" s="916"/>
      <c r="C71" s="916"/>
      <c r="D71" s="916"/>
      <c r="E71" s="663">
        <v>582</v>
      </c>
      <c r="F71" s="918"/>
      <c r="G71" s="918"/>
      <c r="H71" s="918"/>
      <c r="I71" s="918"/>
      <c r="J71" s="918"/>
      <c r="K71" s="918"/>
      <c r="L71" s="918"/>
      <c r="M71" s="918"/>
      <c r="N71" s="918"/>
      <c r="O71" s="918"/>
      <c r="P71" s="918"/>
      <c r="Q71" s="918"/>
    </row>
    <row r="72" spans="1:17" ht="11.25" customHeight="1">
      <c r="A72" s="1094">
        <v>2021</v>
      </c>
      <c r="B72" s="916"/>
      <c r="C72" s="916"/>
      <c r="D72" s="916"/>
      <c r="E72" s="663">
        <v>73</v>
      </c>
      <c r="F72" s="918"/>
      <c r="G72" s="918"/>
      <c r="H72" s="918"/>
      <c r="I72" s="918"/>
      <c r="J72" s="918"/>
      <c r="K72" s="918"/>
      <c r="L72" s="918"/>
      <c r="M72" s="918"/>
      <c r="N72" s="918"/>
      <c r="O72" s="918"/>
      <c r="P72" s="918"/>
      <c r="Q72" s="918"/>
    </row>
    <row r="73" spans="1:17" ht="11.25" customHeight="1">
      <c r="A73" s="1094">
        <v>2022</v>
      </c>
      <c r="B73" s="916"/>
      <c r="C73" s="916"/>
      <c r="D73" s="916"/>
      <c r="E73" s="663">
        <v>19</v>
      </c>
      <c r="F73" s="918"/>
      <c r="G73" s="918"/>
      <c r="H73" s="918"/>
      <c r="I73" s="918"/>
      <c r="J73" s="918"/>
      <c r="K73" s="918"/>
      <c r="L73" s="918"/>
      <c r="M73" s="918"/>
      <c r="N73" s="918"/>
      <c r="O73" s="918"/>
      <c r="P73" s="918"/>
      <c r="Q73" s="918"/>
    </row>
    <row r="74" spans="1:17" ht="11.25" customHeight="1">
      <c r="A74" s="1094" t="s">
        <v>1551</v>
      </c>
      <c r="B74" s="916"/>
      <c r="C74" s="916"/>
      <c r="D74" s="916"/>
      <c r="E74" s="663">
        <v>141.99999999999997</v>
      </c>
      <c r="F74" s="918"/>
      <c r="G74" s="918"/>
      <c r="H74" s="918"/>
      <c r="I74" s="918"/>
      <c r="J74" s="918"/>
      <c r="K74" s="918"/>
      <c r="L74" s="918"/>
      <c r="M74" s="918"/>
      <c r="N74" s="918"/>
      <c r="O74" s="918"/>
      <c r="P74" s="918"/>
      <c r="Q74" s="918"/>
    </row>
    <row r="75" spans="1:17" ht="11.25" customHeight="1">
      <c r="A75" s="207"/>
      <c r="B75" s="207"/>
      <c r="C75" s="207"/>
      <c r="D75" s="207"/>
      <c r="E75" s="207"/>
    </row>
    <row r="76" spans="1:17" ht="11.25" customHeight="1">
      <c r="A76" s="1290" t="s">
        <v>874</v>
      </c>
      <c r="B76" s="1290"/>
      <c r="C76" s="1290"/>
      <c r="D76" s="1290"/>
      <c r="E76" s="1290"/>
    </row>
    <row r="77" spans="1:17" ht="11.25" customHeight="1">
      <c r="A77" s="942"/>
      <c r="B77" s="942"/>
      <c r="C77" s="942"/>
      <c r="D77" s="942"/>
      <c r="E77" s="942"/>
      <c r="F77" s="944"/>
      <c r="G77" s="944"/>
      <c r="H77" s="944"/>
      <c r="I77" s="944"/>
      <c r="J77" s="944"/>
      <c r="K77" s="944"/>
      <c r="L77" s="944"/>
      <c r="M77" s="944"/>
      <c r="N77" s="944"/>
      <c r="O77" s="944"/>
      <c r="P77" s="944"/>
      <c r="Q77" s="944"/>
    </row>
    <row r="78" spans="1:17" ht="45" customHeight="1">
      <c r="A78" s="1187" t="s">
        <v>918</v>
      </c>
      <c r="B78" s="1188"/>
      <c r="C78" s="1188"/>
      <c r="D78" s="1188"/>
      <c r="E78" s="1188"/>
    </row>
    <row r="79" spans="1:17">
      <c r="A79" s="207"/>
      <c r="B79" s="207"/>
      <c r="C79" s="207"/>
      <c r="D79" s="207"/>
      <c r="E79" s="207"/>
    </row>
    <row r="80" spans="1:17" ht="33.75" customHeight="1">
      <c r="A80" s="1187" t="s">
        <v>1552</v>
      </c>
      <c r="B80" s="1188"/>
      <c r="C80" s="1188"/>
      <c r="D80" s="1188"/>
      <c r="E80" s="1188"/>
    </row>
    <row r="81" spans="1:17" ht="11.25" customHeight="1">
      <c r="A81" s="867"/>
      <c r="B81" s="868"/>
      <c r="C81" s="868"/>
      <c r="D81" s="868"/>
      <c r="E81" s="868"/>
      <c r="F81" s="871"/>
      <c r="G81" s="871"/>
      <c r="H81" s="871"/>
      <c r="I81" s="871"/>
      <c r="J81" s="871"/>
      <c r="K81" s="871"/>
      <c r="L81" s="871"/>
      <c r="M81" s="871"/>
      <c r="N81" s="871"/>
      <c r="O81" s="871"/>
      <c r="P81" s="871"/>
      <c r="Q81" s="871"/>
    </row>
    <row r="82" spans="1:17" ht="11.25" customHeight="1">
      <c r="A82" s="1297" t="s">
        <v>1267</v>
      </c>
      <c r="B82" s="1297"/>
      <c r="C82" s="1297"/>
      <c r="D82" s="1297"/>
      <c r="E82" s="1297"/>
      <c r="F82" s="871"/>
      <c r="G82" s="871"/>
      <c r="H82" s="871"/>
      <c r="I82" s="871"/>
      <c r="J82" s="871"/>
      <c r="K82" s="871"/>
      <c r="L82" s="871"/>
      <c r="M82" s="871"/>
      <c r="N82" s="871"/>
      <c r="O82" s="871"/>
      <c r="P82" s="871"/>
      <c r="Q82" s="871"/>
    </row>
    <row r="83" spans="1:17" ht="11.25" customHeight="1">
      <c r="A83" s="867"/>
      <c r="B83" s="868"/>
      <c r="C83" s="868"/>
      <c r="D83" s="868"/>
      <c r="E83" s="868"/>
      <c r="F83" s="871"/>
      <c r="G83" s="871"/>
      <c r="H83" s="871"/>
      <c r="I83" s="871"/>
      <c r="J83" s="871"/>
      <c r="K83" s="871"/>
      <c r="L83" s="871"/>
      <c r="M83" s="871"/>
      <c r="N83" s="871"/>
      <c r="O83" s="871"/>
      <c r="P83" s="871"/>
      <c r="Q83" s="871"/>
    </row>
    <row r="84" spans="1:17" ht="33.75" customHeight="1">
      <c r="A84" s="1187" t="s">
        <v>1441</v>
      </c>
      <c r="B84" s="1188"/>
      <c r="C84" s="1188"/>
      <c r="D84" s="1188"/>
      <c r="E84" s="1188"/>
      <c r="F84" s="885"/>
      <c r="G84" s="885"/>
      <c r="H84" s="885"/>
      <c r="I84" s="885"/>
      <c r="J84" s="885"/>
      <c r="K84" s="885"/>
      <c r="L84" s="885"/>
      <c r="M84" s="885"/>
      <c r="N84" s="885"/>
      <c r="O84" s="885"/>
      <c r="P84" s="885"/>
      <c r="Q84" s="885"/>
    </row>
    <row r="85" spans="1:17" ht="11.25" customHeight="1">
      <c r="A85" s="883"/>
      <c r="B85" s="884"/>
      <c r="C85" s="884"/>
      <c r="D85" s="884"/>
      <c r="E85" s="884"/>
      <c r="F85" s="885"/>
      <c r="G85" s="885"/>
      <c r="H85" s="885"/>
      <c r="I85" s="885"/>
      <c r="J85" s="885"/>
      <c r="K85" s="885"/>
      <c r="L85" s="885"/>
      <c r="M85" s="885"/>
      <c r="N85" s="885"/>
      <c r="O85" s="885"/>
      <c r="P85" s="885"/>
      <c r="Q85" s="885"/>
    </row>
    <row r="86" spans="1:17" ht="12" customHeight="1">
      <c r="A86" s="575" t="s">
        <v>740</v>
      </c>
      <c r="B86" s="599"/>
      <c r="C86" s="577"/>
      <c r="D86" s="677">
        <v>2018</v>
      </c>
      <c r="E86" s="577">
        <v>2017</v>
      </c>
      <c r="F86" s="871"/>
      <c r="G86" s="871"/>
      <c r="H86" s="871"/>
      <c r="I86" s="871"/>
      <c r="J86" s="871"/>
      <c r="K86" s="871"/>
      <c r="L86" s="871"/>
      <c r="M86" s="871"/>
      <c r="N86" s="871"/>
      <c r="O86" s="871"/>
      <c r="P86" s="871"/>
      <c r="Q86" s="871"/>
    </row>
    <row r="87" spans="1:17" ht="11.25" customHeight="1">
      <c r="A87" s="864" t="s">
        <v>1268</v>
      </c>
      <c r="B87" s="549"/>
      <c r="C87" s="549"/>
      <c r="D87" s="663">
        <v>292</v>
      </c>
      <c r="E87" s="553">
        <v>330</v>
      </c>
      <c r="F87" s="871"/>
      <c r="G87" s="871"/>
      <c r="H87" s="871"/>
      <c r="I87" s="871"/>
      <c r="J87" s="871"/>
      <c r="K87" s="871"/>
      <c r="L87" s="871"/>
      <c r="M87" s="871"/>
      <c r="N87" s="871"/>
      <c r="O87" s="871"/>
      <c r="P87" s="871"/>
      <c r="Q87" s="871"/>
    </row>
    <row r="88" spans="1:17" ht="11.25" customHeight="1">
      <c r="A88" s="872" t="s">
        <v>1269</v>
      </c>
      <c r="B88" s="549"/>
      <c r="C88" s="549"/>
      <c r="D88" s="663">
        <v>531</v>
      </c>
      <c r="E88" s="553">
        <v>289</v>
      </c>
      <c r="F88" s="871"/>
      <c r="G88" s="871"/>
      <c r="H88" s="871"/>
      <c r="I88" s="871"/>
      <c r="J88" s="871"/>
      <c r="K88" s="871"/>
      <c r="L88" s="871"/>
      <c r="M88" s="871"/>
      <c r="N88" s="871"/>
      <c r="O88" s="871"/>
      <c r="P88" s="871"/>
      <c r="Q88" s="871"/>
    </row>
    <row r="89" spans="1:17" ht="11.25" customHeight="1">
      <c r="A89" s="872" t="s">
        <v>367</v>
      </c>
      <c r="B89" s="549"/>
      <c r="C89" s="549"/>
      <c r="D89" s="663">
        <v>426</v>
      </c>
      <c r="E89" s="553">
        <v>105</v>
      </c>
      <c r="F89" s="873"/>
      <c r="G89" s="873"/>
      <c r="H89" s="873"/>
      <c r="I89" s="873"/>
      <c r="J89" s="873"/>
      <c r="K89" s="873"/>
      <c r="L89" s="873"/>
      <c r="M89" s="873"/>
      <c r="N89" s="873"/>
      <c r="O89" s="873"/>
      <c r="P89" s="873"/>
      <c r="Q89" s="873"/>
    </row>
    <row r="90" spans="1:17" ht="11.25" customHeight="1">
      <c r="A90" s="872"/>
      <c r="B90" s="549"/>
      <c r="C90" s="549"/>
      <c r="D90" s="921"/>
      <c r="E90" s="877"/>
      <c r="F90" s="873"/>
      <c r="G90" s="873"/>
      <c r="H90" s="873"/>
      <c r="I90" s="873"/>
      <c r="J90" s="873"/>
      <c r="K90" s="873"/>
      <c r="L90" s="873"/>
      <c r="M90" s="873"/>
      <c r="N90" s="873"/>
      <c r="O90" s="873"/>
      <c r="P90" s="873"/>
      <c r="Q90" s="873"/>
    </row>
    <row r="91" spans="1:17" ht="11.25" customHeight="1">
      <c r="A91" s="872" t="s">
        <v>1289</v>
      </c>
      <c r="B91" s="549"/>
      <c r="C91" s="549"/>
      <c r="D91" s="663">
        <v>87</v>
      </c>
      <c r="E91" s="553">
        <v>70</v>
      </c>
      <c r="F91" s="873"/>
      <c r="G91" s="873"/>
      <c r="H91" s="873"/>
      <c r="I91" s="873"/>
      <c r="J91" s="873"/>
      <c r="K91" s="873"/>
      <c r="L91" s="873"/>
      <c r="M91" s="873"/>
      <c r="N91" s="873"/>
      <c r="O91" s="873"/>
      <c r="P91" s="873"/>
      <c r="Q91" s="873"/>
    </row>
    <row r="92" spans="1:17" ht="11.25" customHeight="1">
      <c r="A92" s="243"/>
      <c r="B92" s="243"/>
      <c r="C92" s="243"/>
      <c r="D92" s="243"/>
      <c r="E92" s="243"/>
      <c r="F92" s="873"/>
      <c r="G92" s="873"/>
      <c r="H92" s="873"/>
      <c r="I92" s="873"/>
      <c r="J92" s="873"/>
      <c r="K92" s="873"/>
      <c r="L92" s="873"/>
      <c r="M92" s="873"/>
      <c r="N92" s="873"/>
      <c r="O92" s="873"/>
      <c r="P92" s="873"/>
      <c r="Q92" s="873"/>
    </row>
    <row r="93" spans="1:17" ht="22.5" customHeight="1">
      <c r="A93" s="1187" t="s">
        <v>1553</v>
      </c>
      <c r="B93" s="1188"/>
      <c r="C93" s="1188"/>
      <c r="D93" s="1188"/>
      <c r="E93" s="1188"/>
    </row>
    <row r="94" spans="1:17">
      <c r="A94" s="207"/>
      <c r="B94" s="207"/>
      <c r="C94" s="207"/>
      <c r="D94" s="207"/>
      <c r="E94" s="207"/>
    </row>
    <row r="95" spans="1:17" ht="11.25" customHeight="1">
      <c r="A95" s="1198" t="s">
        <v>1446</v>
      </c>
      <c r="B95" s="1148"/>
      <c r="C95" s="1148"/>
      <c r="D95" s="1148"/>
      <c r="E95" s="1148"/>
    </row>
    <row r="96" spans="1:17">
      <c r="A96" s="207"/>
      <c r="B96" s="207"/>
      <c r="C96" s="207"/>
      <c r="D96" s="207"/>
      <c r="E96" s="207"/>
    </row>
    <row r="97" spans="1:17" s="1104" customFormat="1">
      <c r="A97" s="1238" t="s">
        <v>328</v>
      </c>
      <c r="B97" s="1238"/>
      <c r="C97" s="1238"/>
      <c r="D97" s="1238"/>
      <c r="E97" s="1238"/>
    </row>
    <row r="98" spans="1:17">
      <c r="A98" s="942"/>
      <c r="B98" s="942"/>
      <c r="C98" s="942"/>
      <c r="D98" s="942"/>
      <c r="E98" s="942"/>
      <c r="F98" s="944"/>
      <c r="G98" s="944"/>
      <c r="H98" s="944"/>
      <c r="I98" s="944"/>
      <c r="J98" s="944"/>
      <c r="K98" s="944"/>
      <c r="L98" s="944"/>
      <c r="M98" s="944"/>
      <c r="N98" s="944"/>
      <c r="O98" s="944"/>
      <c r="P98" s="944"/>
      <c r="Q98" s="944"/>
    </row>
    <row r="99" spans="1:17" ht="22.5" customHeight="1">
      <c r="A99" s="1198" t="s">
        <v>1447</v>
      </c>
      <c r="B99" s="1148"/>
      <c r="C99" s="1148"/>
      <c r="D99" s="1148"/>
      <c r="E99" s="1148"/>
    </row>
    <row r="100" spans="1:17">
      <c r="A100" s="207"/>
      <c r="B100" s="207"/>
      <c r="C100" s="207"/>
      <c r="D100" s="207"/>
      <c r="E100" s="207"/>
    </row>
    <row r="101" spans="1:17">
      <c r="A101" s="1198" t="s">
        <v>329</v>
      </c>
      <c r="B101" s="1148"/>
      <c r="C101" s="1148"/>
      <c r="D101" s="1148"/>
      <c r="E101" s="1148"/>
    </row>
    <row r="102" spans="1:17">
      <c r="A102" s="1198" t="s">
        <v>1519</v>
      </c>
      <c r="B102" s="1148"/>
      <c r="C102" s="1148"/>
      <c r="D102" s="1148"/>
      <c r="E102" s="1148"/>
    </row>
    <row r="103" spans="1:17">
      <c r="A103" s="1198" t="s">
        <v>1520</v>
      </c>
      <c r="B103" s="1148"/>
      <c r="C103" s="1148"/>
      <c r="D103" s="1148"/>
      <c r="E103" s="1148"/>
    </row>
    <row r="104" spans="1:17">
      <c r="A104" s="207"/>
      <c r="B104" s="207"/>
      <c r="C104" s="207"/>
      <c r="D104" s="207"/>
      <c r="E104" s="207"/>
    </row>
    <row r="105" spans="1:17" ht="22.5" customHeight="1">
      <c r="A105" s="1302" t="s">
        <v>1554</v>
      </c>
      <c r="B105" s="1302"/>
      <c r="C105" s="1302"/>
      <c r="D105" s="1302"/>
      <c r="E105" s="1302"/>
    </row>
    <row r="106" spans="1:17">
      <c r="A106" s="207"/>
      <c r="B106" s="207"/>
      <c r="C106" s="207"/>
      <c r="D106" s="207"/>
      <c r="E106" s="207"/>
    </row>
    <row r="107" spans="1:17" ht="33" customHeight="1">
      <c r="A107" s="1187" t="s">
        <v>1555</v>
      </c>
      <c r="B107" s="1188"/>
      <c r="C107" s="1188"/>
      <c r="D107" s="1188"/>
      <c r="E107" s="1188"/>
    </row>
    <row r="108" spans="1:17" ht="11.25" customHeight="1">
      <c r="A108" s="883"/>
      <c r="B108" s="884"/>
      <c r="C108" s="884"/>
      <c r="D108" s="884"/>
      <c r="E108" s="884"/>
      <c r="F108" s="885"/>
      <c r="G108" s="885"/>
      <c r="H108" s="885"/>
      <c r="I108" s="885"/>
      <c r="J108" s="885"/>
      <c r="K108" s="885"/>
      <c r="L108" s="885"/>
      <c r="M108" s="885"/>
      <c r="N108" s="885"/>
      <c r="O108" s="885"/>
      <c r="P108" s="885"/>
      <c r="Q108" s="885"/>
    </row>
    <row r="109" spans="1:17" ht="24" customHeight="1">
      <c r="A109" s="1187" t="s">
        <v>1625</v>
      </c>
      <c r="B109" s="1187"/>
      <c r="C109" s="1187"/>
      <c r="D109" s="1187"/>
      <c r="E109" s="1187"/>
      <c r="F109" s="885"/>
      <c r="G109" s="885"/>
      <c r="H109" s="885"/>
      <c r="I109" s="885"/>
      <c r="J109" s="885"/>
      <c r="K109" s="885"/>
      <c r="L109" s="885"/>
      <c r="M109" s="885"/>
      <c r="N109" s="885"/>
      <c r="O109" s="885"/>
      <c r="P109" s="885"/>
      <c r="Q109" s="885"/>
    </row>
    <row r="110" spans="1:17">
      <c r="A110" s="207"/>
      <c r="B110" s="207"/>
      <c r="C110" s="207"/>
      <c r="D110" s="207"/>
      <c r="E110" s="207"/>
    </row>
    <row r="111" spans="1:17">
      <c r="A111" s="1297" t="s">
        <v>711</v>
      </c>
      <c r="B111" s="1297"/>
      <c r="C111" s="1297"/>
      <c r="D111" s="1297"/>
      <c r="E111" s="1297"/>
    </row>
    <row r="112" spans="1:17">
      <c r="A112" s="1026"/>
      <c r="B112" s="1026"/>
      <c r="C112" s="1026"/>
      <c r="D112" s="1026"/>
      <c r="E112" s="1026"/>
    </row>
    <row r="113" spans="1:17">
      <c r="A113" s="1025" t="s">
        <v>740</v>
      </c>
      <c r="B113" s="1026"/>
      <c r="C113" s="1026"/>
      <c r="D113" s="1026"/>
      <c r="E113" s="1026"/>
    </row>
    <row r="114" spans="1:17" ht="34.5" customHeight="1">
      <c r="A114" s="1024" t="s">
        <v>713</v>
      </c>
      <c r="B114" s="574"/>
      <c r="C114" s="574"/>
      <c r="D114" s="673" t="s">
        <v>712</v>
      </c>
      <c r="E114" s="673" t="s">
        <v>962</v>
      </c>
    </row>
    <row r="115" spans="1:17" ht="11.25" customHeight="1">
      <c r="A115" s="601">
        <v>2018</v>
      </c>
      <c r="B115" s="499"/>
      <c r="C115" s="499"/>
      <c r="D115" s="663"/>
      <c r="E115" s="663">
        <v>640</v>
      </c>
    </row>
    <row r="116" spans="1:17">
      <c r="A116" s="601">
        <v>2019</v>
      </c>
      <c r="B116" s="500"/>
      <c r="C116" s="500"/>
      <c r="D116" s="675">
        <v>110</v>
      </c>
      <c r="E116" s="675">
        <v>530</v>
      </c>
    </row>
    <row r="117" spans="1:17">
      <c r="A117" s="601">
        <v>2020</v>
      </c>
      <c r="B117" s="500"/>
      <c r="C117" s="500"/>
      <c r="D117" s="675">
        <v>110</v>
      </c>
      <c r="E117" s="675">
        <v>420</v>
      </c>
    </row>
    <row r="118" spans="1:17">
      <c r="A118" s="601">
        <v>2021</v>
      </c>
      <c r="B118" s="500"/>
      <c r="C118" s="500"/>
      <c r="D118" s="675">
        <v>130</v>
      </c>
      <c r="E118" s="675">
        <v>290</v>
      </c>
    </row>
    <row r="119" spans="1:17">
      <c r="A119" s="601">
        <v>2022</v>
      </c>
      <c r="B119" s="500"/>
      <c r="C119" s="500"/>
      <c r="D119" s="675">
        <v>130</v>
      </c>
      <c r="E119" s="675">
        <v>160</v>
      </c>
    </row>
    <row r="120" spans="1:17">
      <c r="A120" s="601">
        <v>2023</v>
      </c>
      <c r="B120" s="500"/>
      <c r="C120" s="500"/>
      <c r="D120" s="675">
        <v>160</v>
      </c>
      <c r="E120" s="675"/>
    </row>
    <row r="121" spans="1:17">
      <c r="A121" s="207"/>
      <c r="B121" s="207"/>
      <c r="C121" s="207"/>
      <c r="D121" s="207"/>
      <c r="E121" s="207"/>
    </row>
    <row r="122" spans="1:17">
      <c r="A122" s="1290" t="s">
        <v>714</v>
      </c>
      <c r="B122" s="1290"/>
      <c r="C122" s="1290"/>
      <c r="D122" s="1290"/>
      <c r="E122" s="1290"/>
    </row>
    <row r="123" spans="1:17">
      <c r="A123" s="942"/>
      <c r="B123" s="943"/>
      <c r="C123" s="943"/>
      <c r="D123" s="943"/>
      <c r="E123" s="943"/>
      <c r="F123" s="944"/>
      <c r="G123" s="944"/>
      <c r="H123" s="944"/>
      <c r="I123" s="944"/>
      <c r="J123" s="944"/>
      <c r="K123" s="944"/>
      <c r="L123" s="944"/>
      <c r="M123" s="944"/>
      <c r="N123" s="944"/>
      <c r="O123" s="944"/>
      <c r="P123" s="944"/>
      <c r="Q123" s="944"/>
    </row>
    <row r="124" spans="1:17" ht="33.75" customHeight="1">
      <c r="A124" s="1187" t="s">
        <v>1054</v>
      </c>
      <c r="B124" s="1188"/>
      <c r="C124" s="1188"/>
      <c r="D124" s="1188"/>
      <c r="E124" s="1188"/>
    </row>
    <row r="125" spans="1:17">
      <c r="A125" s="207"/>
      <c r="B125" s="207"/>
      <c r="C125" s="207"/>
      <c r="D125" s="207"/>
      <c r="E125" s="207"/>
    </row>
    <row r="126" spans="1:17" ht="22.5" customHeight="1">
      <c r="A126" s="1187" t="s">
        <v>1429</v>
      </c>
      <c r="B126" s="1188"/>
      <c r="C126" s="1188"/>
      <c r="D126" s="1188"/>
      <c r="E126" s="1188"/>
    </row>
    <row r="127" spans="1:17">
      <c r="A127" s="207"/>
      <c r="B127" s="207"/>
      <c r="C127" s="207"/>
      <c r="D127" s="207"/>
      <c r="E127" s="207"/>
    </row>
    <row r="128" spans="1:17" ht="45" customHeight="1">
      <c r="A128" s="1187" t="s">
        <v>1138</v>
      </c>
      <c r="B128" s="1188"/>
      <c r="C128" s="1188"/>
      <c r="D128" s="1188"/>
      <c r="E128" s="1188"/>
    </row>
    <row r="129" spans="1:17" ht="11.25" customHeight="1">
      <c r="A129" s="883"/>
      <c r="B129" s="884"/>
      <c r="C129" s="884"/>
      <c r="D129" s="884"/>
      <c r="E129" s="884"/>
      <c r="F129" s="885"/>
      <c r="G129" s="885"/>
      <c r="H129" s="885"/>
      <c r="I129" s="885"/>
      <c r="J129" s="885"/>
      <c r="K129" s="885"/>
      <c r="L129" s="885"/>
      <c r="M129" s="885"/>
      <c r="N129" s="885"/>
      <c r="O129" s="885"/>
      <c r="P129" s="885"/>
      <c r="Q129" s="885"/>
    </row>
    <row r="130" spans="1:17" ht="22.5" customHeight="1">
      <c r="A130" s="1187" t="s">
        <v>1448</v>
      </c>
      <c r="B130" s="1187"/>
      <c r="C130" s="1187"/>
      <c r="D130" s="1187"/>
      <c r="E130" s="1187"/>
      <c r="F130" s="885"/>
      <c r="G130" s="885"/>
      <c r="H130" s="885"/>
      <c r="I130" s="885"/>
      <c r="J130" s="885"/>
      <c r="K130" s="885"/>
      <c r="L130" s="885"/>
      <c r="M130" s="885"/>
      <c r="N130" s="885"/>
      <c r="O130" s="885"/>
      <c r="P130" s="885"/>
      <c r="Q130" s="885"/>
    </row>
    <row r="131" spans="1:17">
      <c r="A131" s="207"/>
      <c r="B131" s="859"/>
      <c r="C131" s="859"/>
      <c r="D131" s="859"/>
      <c r="E131" s="859"/>
    </row>
    <row r="132" spans="1:17">
      <c r="A132" s="1297" t="s">
        <v>109</v>
      </c>
      <c r="B132" s="1297"/>
      <c r="C132" s="1297"/>
      <c r="D132" s="1297"/>
      <c r="E132" s="1297"/>
    </row>
    <row r="133" spans="1:17">
      <c r="A133" s="987"/>
      <c r="B133" s="995"/>
      <c r="C133" s="995"/>
      <c r="D133" s="995"/>
      <c r="E133" s="995"/>
      <c r="F133" s="996"/>
      <c r="G133" s="996"/>
      <c r="H133" s="996"/>
      <c r="I133" s="996"/>
      <c r="J133" s="996"/>
      <c r="K133" s="996"/>
      <c r="L133" s="996"/>
      <c r="M133" s="996"/>
      <c r="N133" s="996"/>
      <c r="O133" s="996"/>
      <c r="P133" s="996"/>
      <c r="Q133" s="996"/>
    </row>
    <row r="134" spans="1:17" ht="72" customHeight="1">
      <c r="A134" s="1198" t="s">
        <v>1430</v>
      </c>
      <c r="B134" s="1198"/>
      <c r="C134" s="1198"/>
      <c r="D134" s="1198"/>
      <c r="E134" s="1198"/>
      <c r="F134" s="996"/>
      <c r="G134" s="996"/>
      <c r="H134" s="996"/>
      <c r="I134" s="996"/>
      <c r="J134" s="996"/>
      <c r="K134" s="996"/>
      <c r="L134" s="996"/>
      <c r="M134" s="996"/>
      <c r="N134" s="996"/>
      <c r="O134" s="996"/>
      <c r="P134" s="996"/>
      <c r="Q134" s="996"/>
    </row>
    <row r="135" spans="1:17">
      <c r="A135" s="942"/>
      <c r="B135" s="943"/>
      <c r="C135" s="943"/>
      <c r="D135" s="943"/>
      <c r="E135" s="943"/>
      <c r="F135" s="944"/>
      <c r="G135" s="944"/>
      <c r="H135" s="944"/>
      <c r="I135" s="944"/>
      <c r="J135" s="944"/>
      <c r="K135" s="944"/>
      <c r="L135" s="944"/>
      <c r="M135" s="944"/>
      <c r="N135" s="944"/>
      <c r="O135" s="944"/>
      <c r="P135" s="944"/>
      <c r="Q135" s="944"/>
    </row>
    <row r="136" spans="1:17">
      <c r="A136" s="709"/>
      <c r="B136" s="697"/>
      <c r="C136" s="647">
        <v>2018</v>
      </c>
      <c r="D136" s="462"/>
      <c r="E136" s="420">
        <v>2017</v>
      </c>
    </row>
    <row r="137" spans="1:17" ht="21.75" customHeight="1">
      <c r="A137" s="537" t="s">
        <v>740</v>
      </c>
      <c r="B137" s="673" t="s">
        <v>960</v>
      </c>
      <c r="C137" s="673" t="s">
        <v>961</v>
      </c>
      <c r="D137" s="568" t="s">
        <v>960</v>
      </c>
      <c r="E137" s="568" t="s">
        <v>961</v>
      </c>
    </row>
    <row r="138" spans="1:17" ht="12" customHeight="1">
      <c r="A138" s="936" t="s">
        <v>716</v>
      </c>
      <c r="B138" s="630">
        <v>862</v>
      </c>
      <c r="C138" s="630">
        <v>1</v>
      </c>
      <c r="D138" s="502">
        <v>951</v>
      </c>
      <c r="E138" s="502">
        <v>1</v>
      </c>
      <c r="F138" s="937"/>
      <c r="G138" s="937"/>
      <c r="H138" s="937"/>
      <c r="I138" s="937"/>
      <c r="J138" s="937"/>
      <c r="K138" s="937"/>
      <c r="L138" s="937"/>
      <c r="M138" s="937"/>
      <c r="N138" s="937"/>
      <c r="O138" s="937"/>
      <c r="P138" s="937"/>
      <c r="Q138" s="937"/>
    </row>
    <row r="139" spans="1:17">
      <c r="A139" s="556" t="s">
        <v>717</v>
      </c>
      <c r="B139" s="630">
        <v>129</v>
      </c>
      <c r="C139" s="630"/>
      <c r="D139" s="502">
        <v>122</v>
      </c>
      <c r="E139" s="502"/>
    </row>
    <row r="140" spans="1:17">
      <c r="A140" s="556" t="s">
        <v>325</v>
      </c>
      <c r="B140" s="630">
        <v>163</v>
      </c>
      <c r="C140" s="630">
        <v>1</v>
      </c>
      <c r="D140" s="502">
        <v>189</v>
      </c>
      <c r="E140" s="502">
        <v>6</v>
      </c>
    </row>
    <row r="141" spans="1:17">
      <c r="A141" s="556" t="s">
        <v>326</v>
      </c>
      <c r="B141" s="630">
        <v>79</v>
      </c>
      <c r="C141" s="630">
        <v>1</v>
      </c>
      <c r="D141" s="502">
        <v>33</v>
      </c>
      <c r="E141" s="502">
        <v>2</v>
      </c>
    </row>
    <row r="142" spans="1:17">
      <c r="A142" s="561" t="s">
        <v>437</v>
      </c>
      <c r="B142" s="625">
        <v>100</v>
      </c>
      <c r="C142" s="625">
        <v>59</v>
      </c>
      <c r="D142" s="480">
        <v>184</v>
      </c>
      <c r="E142" s="480">
        <v>53</v>
      </c>
    </row>
    <row r="143" spans="1:17">
      <c r="A143" s="536" t="s">
        <v>620</v>
      </c>
      <c r="B143" s="626">
        <v>1333</v>
      </c>
      <c r="C143" s="626">
        <v>62</v>
      </c>
      <c r="D143" s="526">
        <v>1478</v>
      </c>
      <c r="E143" s="526">
        <v>62</v>
      </c>
    </row>
    <row r="144" spans="1:17">
      <c r="A144" s="356"/>
      <c r="B144" s="262"/>
      <c r="C144" s="262"/>
      <c r="D144" s="221"/>
      <c r="E144" s="221"/>
    </row>
    <row r="145" spans="1:17" ht="11.25" customHeight="1">
      <c r="A145" s="1295" t="s">
        <v>1556</v>
      </c>
      <c r="B145" s="1296"/>
      <c r="C145" s="1296"/>
      <c r="D145" s="1296"/>
      <c r="E145" s="1296"/>
    </row>
    <row r="146" spans="1:17">
      <c r="A146" s="207"/>
      <c r="B146" s="207"/>
      <c r="C146" s="207"/>
      <c r="D146" s="207"/>
      <c r="E146" s="207"/>
    </row>
    <row r="147" spans="1:17">
      <c r="A147" s="1297" t="s">
        <v>704</v>
      </c>
      <c r="B147" s="1297"/>
      <c r="C147" s="1297"/>
      <c r="D147" s="1297"/>
      <c r="E147" s="1297"/>
      <c r="F147" s="889"/>
      <c r="G147" s="889"/>
      <c r="H147" s="889"/>
      <c r="I147" s="889"/>
      <c r="J147" s="889"/>
      <c r="K147" s="889"/>
      <c r="L147" s="889"/>
      <c r="M147" s="889"/>
      <c r="N147" s="889"/>
      <c r="O147" s="889"/>
      <c r="P147" s="889"/>
      <c r="Q147" s="889"/>
    </row>
    <row r="148" spans="1:17">
      <c r="A148" s="886"/>
      <c r="B148" s="888"/>
      <c r="C148" s="888"/>
      <c r="D148" s="888"/>
      <c r="E148" s="888"/>
      <c r="F148" s="889"/>
      <c r="G148" s="889"/>
      <c r="H148" s="889"/>
      <c r="I148" s="889"/>
      <c r="J148" s="889"/>
      <c r="K148" s="889"/>
      <c r="L148" s="889"/>
      <c r="M148" s="889"/>
      <c r="N148" s="889"/>
      <c r="O148" s="889"/>
      <c r="P148" s="889"/>
      <c r="Q148" s="889"/>
    </row>
    <row r="149" spans="1:17">
      <c r="A149" s="911" t="s">
        <v>740</v>
      </c>
      <c r="B149" s="584"/>
      <c r="C149" s="584"/>
      <c r="D149" s="904">
        <v>2018</v>
      </c>
      <c r="E149" s="887">
        <v>2017</v>
      </c>
      <c r="F149" s="889"/>
      <c r="G149" s="889"/>
      <c r="H149" s="889"/>
      <c r="I149" s="889"/>
      <c r="J149" s="889"/>
      <c r="K149" s="889"/>
      <c r="L149" s="889"/>
      <c r="M149" s="889"/>
      <c r="N149" s="889"/>
      <c r="O149" s="889"/>
      <c r="P149" s="889"/>
      <c r="Q149" s="889"/>
    </row>
    <row r="150" spans="1:17">
      <c r="A150" s="559" t="s">
        <v>1290</v>
      </c>
      <c r="B150" s="551"/>
      <c r="C150" s="551"/>
      <c r="D150" s="905">
        <v>62</v>
      </c>
      <c r="E150" s="502">
        <v>58</v>
      </c>
      <c r="F150" s="889"/>
      <c r="G150" s="889"/>
      <c r="H150" s="889"/>
      <c r="I150" s="889"/>
      <c r="J150" s="889"/>
      <c r="K150" s="889"/>
      <c r="L150" s="889"/>
      <c r="M150" s="889"/>
      <c r="N150" s="889"/>
      <c r="O150" s="889"/>
      <c r="P150" s="889"/>
      <c r="Q150" s="889"/>
    </row>
    <row r="151" spans="1:17">
      <c r="A151" s="559" t="s">
        <v>698</v>
      </c>
      <c r="B151" s="551"/>
      <c r="C151" s="551"/>
      <c r="D151" s="905">
        <v>-3</v>
      </c>
      <c r="E151" s="502">
        <v>-4</v>
      </c>
      <c r="F151" s="973"/>
      <c r="G151" s="973"/>
      <c r="H151" s="973"/>
      <c r="I151" s="973"/>
      <c r="J151" s="973"/>
      <c r="K151" s="973"/>
      <c r="L151" s="973"/>
      <c r="M151" s="973"/>
      <c r="N151" s="973"/>
      <c r="O151" s="973"/>
      <c r="P151" s="973"/>
      <c r="Q151" s="973"/>
    </row>
    <row r="152" spans="1:17">
      <c r="A152" s="567" t="s">
        <v>1291</v>
      </c>
      <c r="B152" s="583"/>
      <c r="C152" s="583"/>
      <c r="D152" s="906">
        <v>3</v>
      </c>
      <c r="E152" s="480">
        <v>9</v>
      </c>
      <c r="F152" s="889"/>
      <c r="G152" s="889"/>
      <c r="H152" s="889"/>
      <c r="I152" s="889"/>
      <c r="J152" s="889"/>
      <c r="K152" s="889"/>
      <c r="L152" s="889"/>
      <c r="M152" s="889"/>
      <c r="N152" s="889"/>
      <c r="O152" s="889"/>
      <c r="P152" s="889"/>
      <c r="Q152" s="889"/>
    </row>
    <row r="153" spans="1:17">
      <c r="A153" s="894" t="s">
        <v>1292</v>
      </c>
      <c r="B153" s="529"/>
      <c r="C153" s="529"/>
      <c r="D153" s="907">
        <v>62</v>
      </c>
      <c r="E153" s="526">
        <v>62</v>
      </c>
      <c r="F153" s="889"/>
      <c r="G153" s="889"/>
      <c r="H153" s="889"/>
      <c r="I153" s="889"/>
      <c r="J153" s="889"/>
      <c r="K153" s="889"/>
      <c r="L153" s="889"/>
      <c r="M153" s="889"/>
      <c r="N153" s="889"/>
      <c r="O153" s="889"/>
      <c r="P153" s="889"/>
      <c r="Q153" s="889"/>
    </row>
    <row r="154" spans="1:17">
      <c r="A154" s="888"/>
      <c r="B154" s="888"/>
      <c r="C154" s="888"/>
      <c r="D154" s="888"/>
      <c r="E154" s="888"/>
      <c r="F154" s="889"/>
      <c r="G154" s="889"/>
      <c r="H154" s="889"/>
      <c r="I154" s="889"/>
      <c r="J154" s="889"/>
      <c r="K154" s="889"/>
      <c r="L154" s="889"/>
      <c r="M154" s="889"/>
      <c r="N154" s="889"/>
      <c r="O154" s="889"/>
      <c r="P154" s="889"/>
      <c r="Q154" s="889"/>
    </row>
    <row r="155" spans="1:17" ht="22.5" customHeight="1">
      <c r="A155" s="1187" t="s">
        <v>1139</v>
      </c>
      <c r="B155" s="1188"/>
      <c r="C155" s="1188"/>
      <c r="D155" s="1188"/>
      <c r="E155" s="1188"/>
    </row>
    <row r="156" spans="1:17" ht="11.25" customHeight="1">
      <c r="A156" s="283"/>
      <c r="B156" s="315"/>
      <c r="C156" s="315"/>
      <c r="D156" s="315"/>
      <c r="E156" s="315"/>
    </row>
    <row r="157" spans="1:17">
      <c r="A157" s="1290" t="s">
        <v>327</v>
      </c>
      <c r="B157" s="1290"/>
      <c r="C157" s="1290"/>
      <c r="D157" s="1290"/>
      <c r="E157" s="1290"/>
    </row>
    <row r="158" spans="1:17">
      <c r="A158" s="942"/>
      <c r="B158" s="943"/>
      <c r="C158" s="943"/>
      <c r="D158" s="943"/>
      <c r="E158" s="943"/>
      <c r="F158" s="944"/>
      <c r="G158" s="944"/>
      <c r="H158" s="944"/>
      <c r="I158" s="944"/>
      <c r="J158" s="944"/>
      <c r="K158" s="944"/>
      <c r="L158" s="944"/>
      <c r="M158" s="944"/>
      <c r="N158" s="944"/>
      <c r="O158" s="944"/>
      <c r="P158" s="944"/>
      <c r="Q158" s="944"/>
    </row>
    <row r="159" spans="1:17" ht="22.5" customHeight="1">
      <c r="A159" s="1294" t="s">
        <v>1608</v>
      </c>
      <c r="B159" s="1279"/>
      <c r="C159" s="1279"/>
      <c r="D159" s="1279"/>
      <c r="E159" s="1279"/>
    </row>
    <row r="160" spans="1:17">
      <c r="A160" s="207"/>
      <c r="B160" s="207"/>
      <c r="C160" s="207"/>
      <c r="D160" s="207"/>
      <c r="E160" s="207"/>
    </row>
    <row r="161" spans="1:17">
      <c r="A161" s="1290" t="s">
        <v>875</v>
      </c>
      <c r="B161" s="1290"/>
      <c r="C161" s="1290"/>
      <c r="D161" s="1290"/>
      <c r="E161" s="1290"/>
    </row>
    <row r="162" spans="1:17">
      <c r="A162" s="942"/>
      <c r="B162" s="943"/>
      <c r="C162" s="943"/>
      <c r="D162" s="943"/>
      <c r="E162" s="943"/>
      <c r="F162" s="944"/>
      <c r="G162" s="944"/>
      <c r="H162" s="944"/>
      <c r="I162" s="944"/>
      <c r="J162" s="944"/>
      <c r="K162" s="944"/>
      <c r="L162" s="944"/>
      <c r="M162" s="944"/>
      <c r="N162" s="944"/>
      <c r="O162" s="944"/>
      <c r="P162" s="944"/>
      <c r="Q162" s="944"/>
    </row>
    <row r="163" spans="1:17" ht="45" customHeight="1">
      <c r="A163" s="1187" t="s">
        <v>1250</v>
      </c>
      <c r="B163" s="1188"/>
      <c r="C163" s="1188"/>
      <c r="D163" s="1188"/>
      <c r="E163" s="1188"/>
    </row>
    <row r="164" spans="1:17">
      <c r="A164" s="709"/>
      <c r="B164" s="859"/>
      <c r="C164" s="859"/>
      <c r="D164" s="859"/>
      <c r="E164" s="859"/>
    </row>
    <row r="165" spans="1:17">
      <c r="A165" s="1182" t="s">
        <v>740</v>
      </c>
      <c r="B165" s="1293"/>
      <c r="C165" s="602"/>
      <c r="D165" s="673" t="s">
        <v>1356</v>
      </c>
      <c r="E165" s="568" t="s">
        <v>1230</v>
      </c>
    </row>
    <row r="166" spans="1:17" ht="11.25" customHeight="1">
      <c r="A166" s="1125" t="s">
        <v>307</v>
      </c>
      <c r="B166" s="1125"/>
      <c r="C166" s="499"/>
      <c r="D166" s="630">
        <v>748</v>
      </c>
      <c r="E166" s="502">
        <v>517</v>
      </c>
    </row>
    <row r="167" spans="1:17" ht="11.25" customHeight="1">
      <c r="A167" s="1125" t="s">
        <v>308</v>
      </c>
      <c r="B167" s="1125"/>
      <c r="C167" s="499"/>
      <c r="D167" s="630">
        <v>74</v>
      </c>
      <c r="E167" s="502">
        <v>102</v>
      </c>
    </row>
    <row r="168" spans="1:17" ht="11.25" customHeight="1">
      <c r="A168" s="1118" t="s">
        <v>550</v>
      </c>
      <c r="B168" s="1118"/>
      <c r="C168" s="479"/>
      <c r="D168" s="625">
        <v>-487</v>
      </c>
      <c r="E168" s="480">
        <v>-379</v>
      </c>
    </row>
    <row r="169" spans="1:17">
      <c r="A169" s="555"/>
      <c r="B169" s="603"/>
      <c r="C169" s="519"/>
      <c r="D169" s="630">
        <v>336</v>
      </c>
      <c r="E169" s="502">
        <v>239</v>
      </c>
    </row>
    <row r="170" spans="1:17" ht="12" customHeight="1">
      <c r="A170" s="1118" t="s">
        <v>84</v>
      </c>
      <c r="B170" s="1118"/>
      <c r="C170" s="479"/>
      <c r="D170" s="625">
        <v>-3.14</v>
      </c>
      <c r="E170" s="480">
        <v>-5.47</v>
      </c>
    </row>
    <row r="171" spans="1:17" ht="12" customHeight="1">
      <c r="A171" s="1143" t="s">
        <v>1047</v>
      </c>
      <c r="B171" s="1125"/>
      <c r="C171" s="499"/>
      <c r="D171" s="630">
        <v>333</v>
      </c>
      <c r="E171" s="502">
        <v>234</v>
      </c>
    </row>
    <row r="172" spans="1:17" ht="12" customHeight="1">
      <c r="A172" s="555"/>
      <c r="B172" s="549"/>
      <c r="C172" s="499"/>
      <c r="D172" s="639"/>
      <c r="E172" s="499"/>
    </row>
    <row r="173" spans="1:17">
      <c r="A173" s="1125" t="s">
        <v>574</v>
      </c>
      <c r="B173" s="1125"/>
      <c r="C173" s="499"/>
      <c r="D173" s="630">
        <v>2432</v>
      </c>
      <c r="E173" s="502">
        <v>2376</v>
      </c>
    </row>
    <row r="174" spans="1:17">
      <c r="A174" s="1125" t="s">
        <v>269</v>
      </c>
      <c r="B174" s="1125"/>
      <c r="C174" s="499"/>
      <c r="D174" s="676">
        <v>0.14000000000000001</v>
      </c>
      <c r="E174" s="557">
        <v>0.1</v>
      </c>
    </row>
    <row r="175" spans="1:17">
      <c r="A175" s="549"/>
      <c r="B175" s="549"/>
      <c r="C175" s="499"/>
      <c r="D175" s="639"/>
      <c r="E175" s="499"/>
    </row>
    <row r="176" spans="1:17">
      <c r="A176" s="534" t="s">
        <v>1071</v>
      </c>
      <c r="B176" s="534"/>
      <c r="C176" s="534"/>
      <c r="D176" s="698"/>
      <c r="E176" s="534"/>
    </row>
    <row r="177" spans="1:5">
      <c r="A177" s="555"/>
      <c r="B177" s="603"/>
      <c r="C177" s="519"/>
      <c r="D177" s="668"/>
      <c r="E177" s="560"/>
    </row>
    <row r="178" spans="1:5">
      <c r="A178" s="1125" t="s">
        <v>876</v>
      </c>
      <c r="B178" s="1125"/>
      <c r="C178" s="499"/>
      <c r="D178" s="630">
        <v>6059</v>
      </c>
      <c r="E178" s="502">
        <v>5648</v>
      </c>
    </row>
    <row r="179" spans="1:5">
      <c r="A179" s="1118" t="s">
        <v>399</v>
      </c>
      <c r="B179" s="1118"/>
      <c r="C179" s="479"/>
      <c r="D179" s="625">
        <v>-584</v>
      </c>
      <c r="E179" s="480">
        <v>-522</v>
      </c>
    </row>
    <row r="180" spans="1:5">
      <c r="A180" s="535"/>
      <c r="B180" s="499"/>
      <c r="C180" s="499"/>
      <c r="D180" s="630">
        <v>5475</v>
      </c>
      <c r="E180" s="502">
        <v>5126</v>
      </c>
    </row>
    <row r="181" spans="1:5">
      <c r="A181" s="551"/>
      <c r="B181" s="551"/>
      <c r="C181" s="551"/>
      <c r="D181" s="685"/>
      <c r="E181" s="551"/>
    </row>
    <row r="182" spans="1:5">
      <c r="A182" s="1125" t="s">
        <v>97</v>
      </c>
      <c r="B182" s="1125"/>
      <c r="C182" s="499"/>
      <c r="D182" s="699">
        <v>44.4</v>
      </c>
      <c r="E182" s="600">
        <v>46.3</v>
      </c>
    </row>
    <row r="183" spans="1:5">
      <c r="A183" s="207"/>
      <c r="B183" s="207"/>
      <c r="C183" s="207"/>
      <c r="D183" s="207"/>
      <c r="E183" s="207"/>
    </row>
    <row r="184" spans="1:5">
      <c r="A184" s="207"/>
      <c r="B184" s="207"/>
      <c r="C184" s="207"/>
      <c r="D184" s="207"/>
      <c r="E184" s="207"/>
    </row>
    <row r="185" spans="1:5">
      <c r="A185" s="207"/>
      <c r="B185" s="207"/>
      <c r="C185" s="207"/>
      <c r="D185" s="207"/>
      <c r="E185" s="207"/>
    </row>
    <row r="186" spans="1:5">
      <c r="A186" s="207"/>
      <c r="B186" s="207"/>
      <c r="C186" s="207"/>
      <c r="D186" s="207"/>
      <c r="E186" s="207"/>
    </row>
    <row r="187" spans="1:5">
      <c r="A187" s="207"/>
      <c r="B187" s="207"/>
      <c r="C187" s="207"/>
      <c r="D187" s="207"/>
      <c r="E187" s="207"/>
    </row>
    <row r="188" spans="1:5">
      <c r="A188" s="207"/>
      <c r="B188" s="207"/>
      <c r="C188" s="207"/>
      <c r="D188" s="207"/>
      <c r="E188" s="207"/>
    </row>
    <row r="189" spans="1:5">
      <c r="A189" s="355"/>
      <c r="B189" s="221"/>
      <c r="C189" s="221"/>
      <c r="D189" s="397"/>
      <c r="E189" s="330"/>
    </row>
    <row r="193" spans="1:5">
      <c r="A193" s="207"/>
      <c r="B193" s="207"/>
      <c r="C193" s="207"/>
      <c r="D193" s="207"/>
      <c r="E193" s="207"/>
    </row>
  </sheetData>
  <mergeCells count="61">
    <mergeCell ref="A97:E97"/>
    <mergeCell ref="A124:E124"/>
    <mergeCell ref="A130:E130"/>
    <mergeCell ref="A109:E109"/>
    <mergeCell ref="A126:E126"/>
    <mergeCell ref="A128:E128"/>
    <mergeCell ref="A99:E99"/>
    <mergeCell ref="A102:E102"/>
    <mergeCell ref="A101:E101"/>
    <mergeCell ref="A103:E103"/>
    <mergeCell ref="A105:E105"/>
    <mergeCell ref="A107:E107"/>
    <mergeCell ref="A111:E111"/>
    <mergeCell ref="A95:E95"/>
    <mergeCell ref="A13:E13"/>
    <mergeCell ref="A23:E23"/>
    <mergeCell ref="A25:E25"/>
    <mergeCell ref="A27:E27"/>
    <mergeCell ref="A29:E29"/>
    <mergeCell ref="A93:E93"/>
    <mergeCell ref="A84:E84"/>
    <mergeCell ref="A11:E11"/>
    <mergeCell ref="A47:E47"/>
    <mergeCell ref="A82:E82"/>
    <mergeCell ref="A49:E49"/>
    <mergeCell ref="A15:E15"/>
    <mergeCell ref="A17:E17"/>
    <mergeCell ref="A76:E76"/>
    <mergeCell ref="A78:E78"/>
    <mergeCell ref="A80:E80"/>
    <mergeCell ref="A19:E19"/>
    <mergeCell ref="A21:E21"/>
    <mergeCell ref="A64:E64"/>
    <mergeCell ref="A51:E51"/>
    <mergeCell ref="A31:E31"/>
    <mergeCell ref="A182:B182"/>
    <mergeCell ref="A166:B166"/>
    <mergeCell ref="A167:B167"/>
    <mergeCell ref="A168:B168"/>
    <mergeCell ref="A179:B179"/>
    <mergeCell ref="A178:B178"/>
    <mergeCell ref="A174:B174"/>
    <mergeCell ref="A173:B173"/>
    <mergeCell ref="A170:B170"/>
    <mergeCell ref="A171:B171"/>
    <mergeCell ref="A165:B165"/>
    <mergeCell ref="A159:E159"/>
    <mergeCell ref="A161:E161"/>
    <mergeCell ref="A122:E122"/>
    <mergeCell ref="A155:E155"/>
    <mergeCell ref="A145:E145"/>
    <mergeCell ref="A134:E134"/>
    <mergeCell ref="A147:E147"/>
    <mergeCell ref="A132:E132"/>
    <mergeCell ref="A163:E163"/>
    <mergeCell ref="A157:E157"/>
    <mergeCell ref="A1:E1"/>
    <mergeCell ref="A3:E3"/>
    <mergeCell ref="A5:E5"/>
    <mergeCell ref="A7:E7"/>
    <mergeCell ref="A9:E9"/>
  </mergeCells>
  <pageMargins left="0.7" right="0.7" top="0.75" bottom="0.75" header="0.3" footer="0.3"/>
  <pageSetup paperSize="9" scale="84" orientation="portrait" r:id="rId1"/>
  <rowBreaks count="4" manualBreakCount="4">
    <brk id="30" max="4" man="1"/>
    <brk id="81" max="4" man="1"/>
    <brk id="121" max="4" man="1"/>
    <brk id="160" max="4" man="1"/>
  </rowBreaks>
  <customProperties>
    <customPr name="SheetOptions" r:id="rId2"/>
  </customProperties>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6"/>
  <dimension ref="A1:Q23"/>
  <sheetViews>
    <sheetView zoomScaleNormal="100" workbookViewId="0">
      <selection sqref="A1:E1"/>
    </sheetView>
  </sheetViews>
  <sheetFormatPr defaultColWidth="8.7109375" defaultRowHeight="10.199999999999999"/>
  <cols>
    <col min="1" max="1" width="70" style="338" customWidth="1"/>
    <col min="2" max="5" width="15" style="232" customWidth="1"/>
    <col min="6" max="17" width="3.7109375" style="205" customWidth="1"/>
    <col min="18" max="16384" width="8.7109375" style="1079"/>
  </cols>
  <sheetData>
    <row r="1" spans="1:5" ht="15.75" customHeight="1">
      <c r="A1" s="1151" t="s">
        <v>1393</v>
      </c>
      <c r="B1" s="1236"/>
      <c r="C1" s="1236"/>
      <c r="D1" s="1236"/>
      <c r="E1" s="1236"/>
    </row>
    <row r="2" spans="1:5">
      <c r="A2" s="355"/>
      <c r="B2" s="221"/>
      <c r="C2" s="221"/>
      <c r="D2" s="221"/>
      <c r="E2" s="221"/>
    </row>
    <row r="3" spans="1:5" ht="22.5" customHeight="1">
      <c r="A3" s="1148" t="s">
        <v>877</v>
      </c>
      <c r="B3" s="1148"/>
      <c r="C3" s="1148"/>
      <c r="D3" s="1148"/>
      <c r="E3" s="1148"/>
    </row>
    <row r="4" spans="1:5">
      <c r="A4" s="315"/>
      <c r="B4" s="285"/>
      <c r="C4" s="285"/>
      <c r="D4" s="285"/>
      <c r="E4" s="285"/>
    </row>
    <row r="5" spans="1:5" ht="33.75" customHeight="1">
      <c r="A5" s="1148" t="s">
        <v>1635</v>
      </c>
      <c r="B5" s="1148"/>
      <c r="C5" s="1148"/>
      <c r="D5" s="1148"/>
      <c r="E5" s="1148"/>
    </row>
    <row r="6" spans="1:5" ht="11.25" customHeight="1">
      <c r="A6" s="355"/>
      <c r="B6" s="401"/>
      <c r="C6" s="401"/>
      <c r="D6" s="401"/>
      <c r="E6" s="401"/>
    </row>
    <row r="7" spans="1:5" ht="11.25" customHeight="1">
      <c r="A7" s="517"/>
      <c r="B7" s="689"/>
      <c r="C7" s="690">
        <v>2018</v>
      </c>
      <c r="D7" s="516"/>
      <c r="E7" s="489">
        <v>2017</v>
      </c>
    </row>
    <row r="8" spans="1:5" ht="11.25" customHeight="1">
      <c r="A8" s="537" t="s">
        <v>740</v>
      </c>
      <c r="B8" s="662" t="s">
        <v>1235</v>
      </c>
      <c r="C8" s="662" t="s">
        <v>654</v>
      </c>
      <c r="D8" s="547" t="s">
        <v>1235</v>
      </c>
      <c r="E8" s="547" t="s">
        <v>654</v>
      </c>
    </row>
    <row r="9" spans="1:5" ht="11.25" customHeight="1">
      <c r="A9" s="556" t="s">
        <v>909</v>
      </c>
      <c r="B9" s="691">
        <v>3.7</v>
      </c>
      <c r="C9" s="617">
        <v>0.4</v>
      </c>
      <c r="D9" s="594">
        <v>3</v>
      </c>
      <c r="E9" s="521">
        <v>0.7</v>
      </c>
    </row>
    <row r="10" spans="1:5" ht="11.25" customHeight="1">
      <c r="A10" s="556" t="s">
        <v>0</v>
      </c>
      <c r="B10" s="691">
        <v>0.2</v>
      </c>
      <c r="C10" s="617">
        <v>0.4</v>
      </c>
      <c r="D10" s="594">
        <v>0.1</v>
      </c>
      <c r="E10" s="521">
        <v>0.3</v>
      </c>
    </row>
    <row r="11" spans="1:5" ht="11.25" customHeight="1">
      <c r="A11" s="561" t="s">
        <v>1</v>
      </c>
      <c r="B11" s="692">
        <v>0.1</v>
      </c>
      <c r="C11" s="693">
        <v>0.1</v>
      </c>
      <c r="D11" s="595">
        <v>0.1</v>
      </c>
      <c r="E11" s="596">
        <v>0.1</v>
      </c>
    </row>
    <row r="12" spans="1:5" ht="11.25" customHeight="1">
      <c r="A12" s="536" t="s">
        <v>620</v>
      </c>
      <c r="B12" s="694">
        <v>4</v>
      </c>
      <c r="C12" s="695">
        <v>0.9</v>
      </c>
      <c r="D12" s="592">
        <v>3.2</v>
      </c>
      <c r="E12" s="593">
        <v>1.1000000000000001</v>
      </c>
    </row>
    <row r="15" spans="1:5">
      <c r="C15" s="205"/>
      <c r="D15" s="205"/>
      <c r="E15" s="205"/>
    </row>
    <row r="16" spans="1:5">
      <c r="C16" s="205"/>
      <c r="D16" s="205"/>
      <c r="E16" s="205"/>
    </row>
    <row r="17" spans="3:5">
      <c r="C17" s="205"/>
      <c r="D17" s="205"/>
      <c r="E17" s="205"/>
    </row>
    <row r="18" spans="3:5">
      <c r="C18" s="205"/>
      <c r="D18" s="205"/>
      <c r="E18" s="205"/>
    </row>
    <row r="19" spans="3:5">
      <c r="C19" s="205"/>
      <c r="D19" s="205"/>
      <c r="E19" s="205"/>
    </row>
    <row r="20" spans="3:5">
      <c r="C20" s="205"/>
      <c r="D20" s="205"/>
      <c r="E20" s="205"/>
    </row>
    <row r="21" spans="3:5">
      <c r="C21" s="205"/>
      <c r="D21" s="205"/>
      <c r="E21" s="205"/>
    </row>
    <row r="22" spans="3:5">
      <c r="C22" s="205"/>
      <c r="D22" s="205"/>
      <c r="E22" s="205"/>
    </row>
    <row r="23" spans="3:5">
      <c r="C23" s="205"/>
      <c r="D23" s="205"/>
      <c r="E23" s="205"/>
    </row>
  </sheetData>
  <mergeCells count="3">
    <mergeCell ref="A1:E1"/>
    <mergeCell ref="A3:E3"/>
    <mergeCell ref="A5:E5"/>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8"/>
  <dimension ref="A1:Q34"/>
  <sheetViews>
    <sheetView zoomScaleNormal="100" workbookViewId="0">
      <selection sqref="A1:F1"/>
    </sheetView>
  </sheetViews>
  <sheetFormatPr defaultColWidth="8.7109375" defaultRowHeight="10.199999999999999"/>
  <cols>
    <col min="1" max="1" width="8.28515625" style="205" customWidth="1"/>
    <col min="2" max="2" width="61.7109375" style="205" customWidth="1"/>
    <col min="3" max="6" width="15" style="205" customWidth="1"/>
    <col min="7" max="17" width="3.7109375" style="205" customWidth="1"/>
    <col min="18" max="16384" width="8.7109375" style="1079"/>
  </cols>
  <sheetData>
    <row r="1" spans="1:17" ht="15.75" customHeight="1">
      <c r="A1" s="1151" t="s">
        <v>1394</v>
      </c>
      <c r="B1" s="1151"/>
      <c r="C1" s="1236"/>
      <c r="D1" s="1236"/>
      <c r="E1" s="1236"/>
      <c r="F1" s="1236"/>
    </row>
    <row r="2" spans="1:17" ht="11.25" customHeight="1">
      <c r="A2" s="310"/>
      <c r="B2" s="310"/>
      <c r="C2" s="364"/>
      <c r="D2" s="364"/>
      <c r="E2" s="364"/>
      <c r="F2" s="364"/>
    </row>
    <row r="3" spans="1:17" ht="11.25" customHeight="1">
      <c r="A3" s="1148" t="s">
        <v>1224</v>
      </c>
      <c r="B3" s="1148"/>
      <c r="C3" s="1148"/>
      <c r="D3" s="1148"/>
      <c r="E3" s="1148"/>
      <c r="F3" s="1148"/>
    </row>
    <row r="4" spans="1:17" ht="11.25" customHeight="1">
      <c r="A4" s="402"/>
      <c r="B4" s="310"/>
      <c r="C4" s="403"/>
      <c r="D4" s="403"/>
      <c r="E4" s="403"/>
      <c r="F4" s="403"/>
    </row>
    <row r="5" spans="1:17">
      <c r="A5" s="283"/>
      <c r="B5" s="283"/>
      <c r="C5" s="672"/>
      <c r="D5" s="516" t="s">
        <v>2</v>
      </c>
      <c r="E5" s="672"/>
      <c r="F5" s="516" t="s">
        <v>3</v>
      </c>
    </row>
    <row r="6" spans="1:17" ht="26.25" customHeight="1">
      <c r="A6" s="599"/>
      <c r="B6" s="599"/>
      <c r="C6" s="677" t="s">
        <v>1356</v>
      </c>
      <c r="D6" s="577" t="s">
        <v>1230</v>
      </c>
      <c r="E6" s="662">
        <v>2018</v>
      </c>
      <c r="F6" s="547">
        <v>2017</v>
      </c>
    </row>
    <row r="7" spans="1:17" ht="11.25" customHeight="1">
      <c r="A7" s="922" t="s">
        <v>995</v>
      </c>
      <c r="B7" s="922" t="s">
        <v>998</v>
      </c>
      <c r="C7" s="696">
        <v>4.2053599999999998</v>
      </c>
      <c r="D7" s="598">
        <v>4.40503</v>
      </c>
      <c r="E7" s="696">
        <v>4.3392200000000001</v>
      </c>
      <c r="F7" s="598">
        <v>4.1473500000000003</v>
      </c>
    </row>
    <row r="8" spans="1:17" ht="11.25" customHeight="1">
      <c r="A8" s="923" t="s">
        <v>645</v>
      </c>
      <c r="B8" s="923" t="s">
        <v>934</v>
      </c>
      <c r="C8" s="696">
        <v>4.444</v>
      </c>
      <c r="D8" s="597">
        <v>3.9729000000000001</v>
      </c>
      <c r="E8" s="696">
        <v>4.3087299999999997</v>
      </c>
      <c r="F8" s="598">
        <v>3.6040999999999999</v>
      </c>
    </row>
    <row r="9" spans="1:17" ht="11.25" customHeight="1">
      <c r="A9" s="923" t="s">
        <v>881</v>
      </c>
      <c r="B9" s="923" t="s">
        <v>935</v>
      </c>
      <c r="C9" s="696">
        <v>1.1269</v>
      </c>
      <c r="D9" s="597">
        <v>1.1701999999999999</v>
      </c>
      <c r="E9" s="696">
        <v>1.1548799999999999</v>
      </c>
      <c r="F9" s="598">
        <v>1.11155</v>
      </c>
    </row>
    <row r="10" spans="1:17" ht="11.25" customHeight="1">
      <c r="A10" s="923" t="s">
        <v>677</v>
      </c>
      <c r="B10" s="923" t="s">
        <v>943</v>
      </c>
      <c r="C10" s="696">
        <v>7.8750999999999998</v>
      </c>
      <c r="D10" s="597">
        <v>7.8044000000000002</v>
      </c>
      <c r="E10" s="696">
        <v>7.8073600000000001</v>
      </c>
      <c r="F10" s="598">
        <v>7.6264399999999997</v>
      </c>
    </row>
    <row r="11" spans="1:17" ht="11.25" customHeight="1">
      <c r="A11" s="923" t="s">
        <v>994</v>
      </c>
      <c r="B11" s="923" t="s">
        <v>996</v>
      </c>
      <c r="C11" s="696">
        <v>7.4672999999999998</v>
      </c>
      <c r="D11" s="597">
        <v>7.4448999999999996</v>
      </c>
      <c r="E11" s="696">
        <v>7.4531799999999997</v>
      </c>
      <c r="F11" s="598">
        <v>7.43865</v>
      </c>
    </row>
    <row r="12" spans="1:17" ht="11.25" customHeight="1">
      <c r="A12" s="923" t="s">
        <v>4</v>
      </c>
      <c r="B12" s="923" t="s">
        <v>936</v>
      </c>
      <c r="C12" s="696">
        <v>0.89453000000000005</v>
      </c>
      <c r="D12" s="597">
        <v>0.88722999999999996</v>
      </c>
      <c r="E12" s="696">
        <v>0.88475000000000004</v>
      </c>
      <c r="F12" s="598">
        <v>0.87614999999999998</v>
      </c>
    </row>
    <row r="13" spans="1:17" ht="11.25" customHeight="1">
      <c r="A13" s="923" t="s">
        <v>6</v>
      </c>
      <c r="B13" s="923" t="s">
        <v>937</v>
      </c>
      <c r="C13" s="696">
        <v>79.729799999999997</v>
      </c>
      <c r="D13" s="597">
        <v>76.605500000000006</v>
      </c>
      <c r="E13" s="696">
        <v>80.727739999999997</v>
      </c>
      <c r="F13" s="598">
        <v>73.498019999999997</v>
      </c>
    </row>
    <row r="14" spans="1:17" ht="11.25" customHeight="1">
      <c r="A14" s="923" t="s">
        <v>5</v>
      </c>
      <c r="B14" s="923" t="s">
        <v>941</v>
      </c>
      <c r="C14" s="696">
        <v>125.85</v>
      </c>
      <c r="D14" s="597">
        <v>135.01</v>
      </c>
      <c r="E14" s="696">
        <v>130.40956</v>
      </c>
      <c r="F14" s="598">
        <v>126.65457000000001</v>
      </c>
    </row>
    <row r="15" spans="1:17" ht="11.25" customHeight="1">
      <c r="A15" s="923" t="s">
        <v>880</v>
      </c>
      <c r="B15" s="923" t="s">
        <v>938</v>
      </c>
      <c r="C15" s="696">
        <v>9.9482999999999997</v>
      </c>
      <c r="D15" s="597">
        <v>9.8402999999999992</v>
      </c>
      <c r="E15" s="696">
        <v>9.6006300000000007</v>
      </c>
      <c r="F15" s="598">
        <v>9.3286099999999994</v>
      </c>
    </row>
    <row r="16" spans="1:17" ht="11.25" customHeight="1">
      <c r="A16" s="1048" t="s">
        <v>1521</v>
      </c>
      <c r="B16" s="1048" t="s">
        <v>1522</v>
      </c>
      <c r="C16" s="696">
        <v>79.715299999999999</v>
      </c>
      <c r="D16" s="597">
        <v>69.391999999999996</v>
      </c>
      <c r="E16" s="696">
        <v>74.055070000000001</v>
      </c>
      <c r="F16" s="598">
        <v>65.887659999999997</v>
      </c>
      <c r="G16" s="1049"/>
      <c r="H16" s="1049"/>
      <c r="I16" s="1049"/>
      <c r="J16" s="1049"/>
      <c r="K16" s="1049"/>
      <c r="L16" s="1049"/>
      <c r="M16" s="1049"/>
      <c r="N16" s="1049"/>
      <c r="O16" s="1049"/>
      <c r="P16" s="1049"/>
      <c r="Q16" s="1049"/>
    </row>
    <row r="17" spans="1:6" ht="11.25" customHeight="1">
      <c r="A17" s="923" t="s">
        <v>950</v>
      </c>
      <c r="B17" s="923" t="s">
        <v>997</v>
      </c>
      <c r="C17" s="696">
        <v>4.2950100000000004</v>
      </c>
      <c r="D17" s="597">
        <v>4.4973799999999997</v>
      </c>
      <c r="E17" s="696">
        <v>4.4311299999999996</v>
      </c>
      <c r="F17" s="598">
        <v>4.2347400000000004</v>
      </c>
    </row>
    <row r="18" spans="1:6" ht="11.25" customHeight="1">
      <c r="A18" s="923" t="s">
        <v>912</v>
      </c>
      <c r="B18" s="923" t="s">
        <v>939</v>
      </c>
      <c r="C18" s="696">
        <v>10.254799999999999</v>
      </c>
      <c r="D18" s="597">
        <v>9.8437999999999999</v>
      </c>
      <c r="E18" s="696">
        <v>10.256740000000001</v>
      </c>
      <c r="F18" s="598">
        <v>9.63687</v>
      </c>
    </row>
    <row r="19" spans="1:6" ht="11.25" customHeight="1">
      <c r="A19" s="923" t="s">
        <v>882</v>
      </c>
      <c r="B19" s="923" t="s">
        <v>942</v>
      </c>
      <c r="C19" s="696">
        <v>1.5590999999999999</v>
      </c>
      <c r="D19" s="598">
        <v>1.6024</v>
      </c>
      <c r="E19" s="696">
        <v>1.5928599999999999</v>
      </c>
      <c r="F19" s="598">
        <v>1.5582199999999999</v>
      </c>
    </row>
    <row r="20" spans="1:6" ht="11.25" customHeight="1">
      <c r="A20" s="923" t="s">
        <v>879</v>
      </c>
      <c r="B20" s="923" t="s">
        <v>940</v>
      </c>
      <c r="C20" s="696">
        <v>1.145</v>
      </c>
      <c r="D20" s="597">
        <v>1.1993</v>
      </c>
      <c r="E20" s="696">
        <v>1.1814899999999999</v>
      </c>
      <c r="F20" s="598">
        <v>1.1292800000000001</v>
      </c>
    </row>
    <row r="21" spans="1:6">
      <c r="A21" s="410"/>
      <c r="B21" s="338"/>
      <c r="C21" s="404"/>
      <c r="D21" s="404"/>
      <c r="E21" s="404"/>
      <c r="F21" s="404"/>
    </row>
    <row r="29" spans="1:6">
      <c r="F29" s="405"/>
    </row>
    <row r="34" spans="3:3">
      <c r="C34" s="406"/>
    </row>
  </sheetData>
  <mergeCells count="2">
    <mergeCell ref="A1:F1"/>
    <mergeCell ref="A3:F3"/>
  </mergeCells>
  <pageMargins left="0.7" right="0.7" top="0.75" bottom="0.75" header="0.3" footer="0.3"/>
  <pageSetup paperSize="9" scale="81" orientation="portrait" r:id="rId1"/>
  <colBreaks count="1" manualBreakCount="1">
    <brk id="8" max="15" man="1"/>
  </colBreaks>
  <customProperties>
    <customPr name="SheetOptions" r:id="rId2"/>
  </customProperties>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8"/>
  <dimension ref="A1:Q164"/>
  <sheetViews>
    <sheetView zoomScaleNormal="100" workbookViewId="0">
      <selection sqref="A1:E1"/>
    </sheetView>
  </sheetViews>
  <sheetFormatPr defaultColWidth="8.7109375" defaultRowHeight="10.199999999999999"/>
  <cols>
    <col min="1" max="1" width="13.28515625" style="407" customWidth="1"/>
    <col min="2" max="2" width="46.7109375" style="286" customWidth="1"/>
    <col min="3" max="3" width="20" style="286" customWidth="1"/>
    <col min="4" max="4" width="40" style="418" customWidth="1"/>
    <col min="5" max="5" width="10" style="243" customWidth="1"/>
    <col min="6" max="17" width="3.7109375" style="205" customWidth="1"/>
    <col min="18" max="16384" width="8.7109375" style="243"/>
  </cols>
  <sheetData>
    <row r="1" spans="1:17" s="1080" customFormat="1" ht="15.6">
      <c r="A1" s="1136" t="s">
        <v>1395</v>
      </c>
      <c r="B1" s="1136"/>
      <c r="C1" s="1136"/>
      <c r="D1" s="1136"/>
      <c r="E1" s="1136"/>
      <c r="F1" s="205"/>
      <c r="G1" s="205"/>
      <c r="H1" s="205"/>
      <c r="I1" s="205"/>
      <c r="J1" s="205"/>
      <c r="K1" s="205"/>
      <c r="L1" s="205"/>
      <c r="M1" s="205"/>
      <c r="N1" s="205"/>
      <c r="O1" s="205"/>
      <c r="P1" s="205"/>
      <c r="Q1" s="205"/>
    </row>
    <row r="2" spans="1:17" s="1080" customFormat="1" ht="11.25" customHeight="1">
      <c r="A2" s="350"/>
      <c r="B2" s="703" t="s">
        <v>1087</v>
      </c>
      <c r="C2" s="729" t="s">
        <v>1087</v>
      </c>
      <c r="D2" s="729" t="s">
        <v>1087</v>
      </c>
      <c r="E2" s="393"/>
      <c r="F2" s="205"/>
      <c r="G2" s="205"/>
      <c r="H2" s="205"/>
      <c r="I2" s="205"/>
      <c r="J2" s="205"/>
      <c r="K2" s="205"/>
      <c r="L2" s="205"/>
      <c r="M2" s="205"/>
      <c r="N2" s="205"/>
      <c r="O2" s="205"/>
      <c r="P2" s="205"/>
      <c r="Q2" s="205"/>
    </row>
    <row r="3" spans="1:17" ht="33.75" customHeight="1">
      <c r="A3" s="733" t="s">
        <v>1203</v>
      </c>
      <c r="B3" s="730" t="s">
        <v>801</v>
      </c>
      <c r="C3" s="730" t="s">
        <v>802</v>
      </c>
      <c r="D3" s="756" t="s">
        <v>1136</v>
      </c>
      <c r="E3" s="568" t="s">
        <v>1204</v>
      </c>
    </row>
    <row r="4" spans="1:17">
      <c r="A4" s="734" t="s">
        <v>361</v>
      </c>
      <c r="B4" s="601" t="s">
        <v>1004</v>
      </c>
      <c r="C4" s="601" t="s">
        <v>1018</v>
      </c>
      <c r="D4" s="601" t="s">
        <v>1134</v>
      </c>
      <c r="E4" s="600">
        <v>100</v>
      </c>
    </row>
    <row r="5" spans="1:17">
      <c r="A5" s="734"/>
      <c r="B5" s="601" t="s">
        <v>785</v>
      </c>
      <c r="C5" s="601" t="s">
        <v>204</v>
      </c>
      <c r="D5" s="601" t="s">
        <v>1134</v>
      </c>
      <c r="E5" s="600">
        <v>100</v>
      </c>
    </row>
    <row r="6" spans="1:17">
      <c r="A6" s="734"/>
      <c r="B6" s="601" t="s">
        <v>1171</v>
      </c>
      <c r="C6" s="601" t="s">
        <v>204</v>
      </c>
      <c r="D6" s="601" t="s">
        <v>1134</v>
      </c>
      <c r="E6" s="600">
        <v>100</v>
      </c>
    </row>
    <row r="7" spans="1:17">
      <c r="A7" s="734"/>
      <c r="B7" s="601" t="s">
        <v>1379</v>
      </c>
      <c r="C7" s="601" t="s">
        <v>204</v>
      </c>
      <c r="D7" s="601" t="s">
        <v>1134</v>
      </c>
      <c r="E7" s="600">
        <v>100</v>
      </c>
    </row>
    <row r="8" spans="1:17" ht="11.25" customHeight="1">
      <c r="A8" s="734"/>
      <c r="B8" s="601" t="s">
        <v>790</v>
      </c>
      <c r="C8" s="601" t="s">
        <v>207</v>
      </c>
      <c r="D8" s="601" t="s">
        <v>1134</v>
      </c>
      <c r="E8" s="600">
        <v>51.7</v>
      </c>
    </row>
    <row r="9" spans="1:17">
      <c r="A9" s="734"/>
      <c r="B9" s="601" t="s">
        <v>1225</v>
      </c>
      <c r="C9" s="601" t="s">
        <v>734</v>
      </c>
      <c r="D9" s="601" t="s">
        <v>1134</v>
      </c>
      <c r="E9" s="600">
        <v>100</v>
      </c>
    </row>
    <row r="10" spans="1:17">
      <c r="A10" s="734"/>
      <c r="B10" s="601" t="s">
        <v>782</v>
      </c>
      <c r="C10" s="601" t="s">
        <v>734</v>
      </c>
      <c r="D10" s="601" t="s">
        <v>1133</v>
      </c>
      <c r="E10" s="600">
        <v>100</v>
      </c>
    </row>
    <row r="11" spans="1:17">
      <c r="A11" s="734"/>
      <c r="B11" s="601" t="s">
        <v>952</v>
      </c>
      <c r="C11" s="601" t="s">
        <v>734</v>
      </c>
      <c r="D11" s="601" t="s">
        <v>1134</v>
      </c>
      <c r="E11" s="600">
        <v>100</v>
      </c>
    </row>
    <row r="12" spans="1:17">
      <c r="A12" s="734"/>
      <c r="B12" s="601" t="s">
        <v>953</v>
      </c>
      <c r="C12" s="601" t="s">
        <v>734</v>
      </c>
      <c r="D12" s="601" t="s">
        <v>1134</v>
      </c>
      <c r="E12" s="600">
        <v>100</v>
      </c>
    </row>
    <row r="13" spans="1:17">
      <c r="A13" s="734"/>
      <c r="B13" s="601" t="s">
        <v>59</v>
      </c>
      <c r="C13" s="601" t="s">
        <v>734</v>
      </c>
      <c r="D13" s="601" t="s">
        <v>1110</v>
      </c>
      <c r="E13" s="600">
        <v>100</v>
      </c>
    </row>
    <row r="14" spans="1:17">
      <c r="A14" s="734"/>
      <c r="B14" s="601" t="s">
        <v>784</v>
      </c>
      <c r="C14" s="601" t="s">
        <v>866</v>
      </c>
      <c r="D14" s="601" t="s">
        <v>1134</v>
      </c>
      <c r="E14" s="600">
        <v>100</v>
      </c>
    </row>
    <row r="15" spans="1:17">
      <c r="A15" s="734"/>
      <c r="B15" s="601" t="s">
        <v>1582</v>
      </c>
      <c r="C15" s="601" t="s">
        <v>866</v>
      </c>
      <c r="D15" s="601" t="s">
        <v>1134</v>
      </c>
      <c r="E15" s="600">
        <v>100</v>
      </c>
      <c r="F15" s="1065"/>
      <c r="G15" s="1065"/>
      <c r="H15" s="1065"/>
      <c r="I15" s="1065"/>
      <c r="J15" s="1065"/>
      <c r="K15" s="1065"/>
      <c r="L15" s="1065"/>
      <c r="M15" s="1065"/>
      <c r="N15" s="1065"/>
      <c r="O15" s="1065"/>
      <c r="P15" s="1065"/>
      <c r="Q15" s="1065"/>
    </row>
    <row r="16" spans="1:17">
      <c r="A16" s="734"/>
      <c r="B16" s="601" t="s">
        <v>1380</v>
      </c>
      <c r="C16" s="601" t="s">
        <v>206</v>
      </c>
      <c r="D16" s="601" t="s">
        <v>1134</v>
      </c>
      <c r="E16" s="600">
        <v>100</v>
      </c>
    </row>
    <row r="17" spans="1:17">
      <c r="A17" s="734"/>
      <c r="B17" s="601" t="s">
        <v>789</v>
      </c>
      <c r="C17" s="601" t="s">
        <v>206</v>
      </c>
      <c r="D17" s="601" t="s">
        <v>1134</v>
      </c>
      <c r="E17" s="600">
        <v>100</v>
      </c>
    </row>
    <row r="18" spans="1:17">
      <c r="A18" s="734"/>
      <c r="B18" s="601" t="s">
        <v>1162</v>
      </c>
      <c r="C18" s="601" t="s">
        <v>206</v>
      </c>
      <c r="D18" s="601" t="s">
        <v>1134</v>
      </c>
      <c r="E18" s="600">
        <v>100</v>
      </c>
    </row>
    <row r="19" spans="1:17">
      <c r="A19" s="734"/>
      <c r="B19" s="601" t="s">
        <v>1164</v>
      </c>
      <c r="C19" s="601" t="s">
        <v>206</v>
      </c>
      <c r="D19" s="601" t="s">
        <v>1134</v>
      </c>
      <c r="E19" s="600">
        <v>100</v>
      </c>
    </row>
    <row r="20" spans="1:17">
      <c r="A20" s="734"/>
      <c r="B20" s="601" t="s">
        <v>1161</v>
      </c>
      <c r="C20" s="601" t="s">
        <v>206</v>
      </c>
      <c r="D20" s="601" t="s">
        <v>1134</v>
      </c>
      <c r="E20" s="600">
        <v>100</v>
      </c>
    </row>
    <row r="21" spans="1:17">
      <c r="A21" s="734"/>
      <c r="B21" s="601" t="s">
        <v>1163</v>
      </c>
      <c r="C21" s="601" t="s">
        <v>206</v>
      </c>
      <c r="D21" s="601" t="s">
        <v>1134</v>
      </c>
      <c r="E21" s="600">
        <v>100</v>
      </c>
    </row>
    <row r="22" spans="1:17">
      <c r="A22" s="734"/>
      <c r="B22" s="601" t="s">
        <v>1579</v>
      </c>
      <c r="C22" s="601" t="s">
        <v>206</v>
      </c>
      <c r="D22" s="601" t="s">
        <v>1134</v>
      </c>
      <c r="E22" s="600">
        <v>100</v>
      </c>
      <c r="F22" s="1065"/>
      <c r="G22" s="1065"/>
      <c r="H22" s="1065"/>
      <c r="I22" s="1065"/>
      <c r="J22" s="1065"/>
      <c r="K22" s="1065"/>
      <c r="L22" s="1065"/>
      <c r="M22" s="1065"/>
      <c r="N22" s="1065"/>
      <c r="O22" s="1065"/>
      <c r="P22" s="1065"/>
      <c r="Q22" s="1065"/>
    </row>
    <row r="23" spans="1:17">
      <c r="A23" s="734"/>
      <c r="B23" s="601" t="s">
        <v>1247</v>
      </c>
      <c r="C23" s="601" t="s">
        <v>208</v>
      </c>
      <c r="D23" s="601" t="s">
        <v>1134</v>
      </c>
      <c r="E23" s="600">
        <v>100</v>
      </c>
    </row>
    <row r="24" spans="1:17">
      <c r="A24" s="734"/>
      <c r="B24" s="601" t="s">
        <v>1381</v>
      </c>
      <c r="C24" s="601" t="s">
        <v>208</v>
      </c>
      <c r="D24" s="601" t="s">
        <v>1134</v>
      </c>
      <c r="E24" s="600">
        <v>100</v>
      </c>
    </row>
    <row r="25" spans="1:17">
      <c r="A25" s="734"/>
      <c r="B25" s="601" t="s">
        <v>409</v>
      </c>
      <c r="C25" s="601" t="s">
        <v>208</v>
      </c>
      <c r="D25" s="601" t="s">
        <v>1133</v>
      </c>
      <c r="E25" s="600">
        <v>100</v>
      </c>
    </row>
    <row r="26" spans="1:17">
      <c r="A26" s="734"/>
      <c r="B26" s="601" t="s">
        <v>947</v>
      </c>
      <c r="C26" s="601" t="s">
        <v>208</v>
      </c>
      <c r="D26" s="601" t="s">
        <v>1133</v>
      </c>
      <c r="E26" s="600">
        <v>100</v>
      </c>
    </row>
    <row r="27" spans="1:17">
      <c r="A27" s="734"/>
      <c r="B27" s="601" t="s">
        <v>983</v>
      </c>
      <c r="C27" s="601" t="s">
        <v>208</v>
      </c>
      <c r="D27" s="601" t="s">
        <v>1133</v>
      </c>
      <c r="E27" s="600">
        <v>100</v>
      </c>
    </row>
    <row r="28" spans="1:17">
      <c r="A28" s="734"/>
      <c r="B28" s="601" t="s">
        <v>1594</v>
      </c>
      <c r="C28" s="601" t="s">
        <v>208</v>
      </c>
      <c r="D28" s="601" t="s">
        <v>1134</v>
      </c>
      <c r="E28" s="600">
        <v>100</v>
      </c>
      <c r="F28" s="1065"/>
      <c r="G28" s="1065"/>
      <c r="H28" s="1065"/>
      <c r="I28" s="1065"/>
      <c r="J28" s="1065"/>
      <c r="K28" s="1065"/>
      <c r="L28" s="1065"/>
      <c r="M28" s="1065"/>
      <c r="N28" s="1065"/>
      <c r="O28" s="1065"/>
      <c r="P28" s="1065"/>
      <c r="Q28" s="1065"/>
    </row>
    <row r="29" spans="1:17">
      <c r="A29" s="734"/>
      <c r="B29" s="601" t="s">
        <v>792</v>
      </c>
      <c r="C29" s="601" t="s">
        <v>210</v>
      </c>
      <c r="D29" s="601" t="s">
        <v>1134</v>
      </c>
      <c r="E29" s="600">
        <v>100</v>
      </c>
    </row>
    <row r="30" spans="1:17">
      <c r="A30" s="734"/>
      <c r="B30" s="601" t="s">
        <v>405</v>
      </c>
      <c r="C30" s="601" t="s">
        <v>370</v>
      </c>
      <c r="D30" s="601" t="s">
        <v>1134</v>
      </c>
      <c r="E30" s="600">
        <v>100</v>
      </c>
    </row>
    <row r="31" spans="1:17">
      <c r="A31" s="734"/>
      <c r="B31" s="601" t="s">
        <v>1577</v>
      </c>
      <c r="C31" s="601" t="s">
        <v>1576</v>
      </c>
      <c r="D31" s="601" t="s">
        <v>1134</v>
      </c>
      <c r="E31" s="600">
        <v>100</v>
      </c>
      <c r="F31" s="1065"/>
      <c r="G31" s="1065"/>
      <c r="H31" s="1065"/>
      <c r="I31" s="1065"/>
      <c r="J31" s="1065"/>
      <c r="K31" s="1065"/>
      <c r="L31" s="1065"/>
      <c r="M31" s="1065"/>
      <c r="N31" s="1065"/>
      <c r="O31" s="1065"/>
      <c r="P31" s="1065"/>
      <c r="Q31" s="1065"/>
    </row>
    <row r="32" spans="1:17">
      <c r="A32" s="734"/>
      <c r="B32" s="601" t="s">
        <v>1584</v>
      </c>
      <c r="C32" s="601" t="s">
        <v>1576</v>
      </c>
      <c r="D32" s="601" t="s">
        <v>1134</v>
      </c>
      <c r="E32" s="600">
        <v>100</v>
      </c>
      <c r="F32" s="1065"/>
      <c r="G32" s="1065"/>
      <c r="H32" s="1065"/>
      <c r="I32" s="1065"/>
      <c r="J32" s="1065"/>
      <c r="K32" s="1065"/>
      <c r="L32" s="1065"/>
      <c r="M32" s="1065"/>
      <c r="N32" s="1065"/>
      <c r="O32" s="1065"/>
      <c r="P32" s="1065"/>
      <c r="Q32" s="1065"/>
    </row>
    <row r="33" spans="1:17">
      <c r="A33" s="734"/>
      <c r="B33" s="601" t="s">
        <v>1593</v>
      </c>
      <c r="C33" s="601" t="s">
        <v>1576</v>
      </c>
      <c r="D33" s="601" t="s">
        <v>1134</v>
      </c>
      <c r="E33" s="600">
        <v>100</v>
      </c>
      <c r="F33" s="1065"/>
      <c r="G33" s="1065"/>
      <c r="H33" s="1065"/>
      <c r="I33" s="1065"/>
      <c r="J33" s="1065"/>
      <c r="K33" s="1065"/>
      <c r="L33" s="1065"/>
      <c r="M33" s="1065"/>
      <c r="N33" s="1065"/>
      <c r="O33" s="1065"/>
      <c r="P33" s="1065"/>
      <c r="Q33" s="1065"/>
    </row>
    <row r="34" spans="1:17">
      <c r="A34" s="734"/>
      <c r="B34" s="601" t="s">
        <v>1165</v>
      </c>
      <c r="C34" s="601" t="s">
        <v>170</v>
      </c>
      <c r="D34" s="601" t="s">
        <v>1134</v>
      </c>
      <c r="E34" s="600">
        <v>100</v>
      </c>
    </row>
    <row r="35" spans="1:17">
      <c r="A35" s="734"/>
      <c r="B35" s="601" t="s">
        <v>783</v>
      </c>
      <c r="C35" s="601" t="s">
        <v>170</v>
      </c>
      <c r="D35" s="601" t="s">
        <v>1133</v>
      </c>
      <c r="E35" s="600">
        <v>100</v>
      </c>
    </row>
    <row r="36" spans="1:17">
      <c r="A36" s="734"/>
      <c r="B36" s="601" t="s">
        <v>1569</v>
      </c>
      <c r="C36" s="601" t="s">
        <v>170</v>
      </c>
      <c r="D36" s="601" t="s">
        <v>1134</v>
      </c>
      <c r="E36" s="600">
        <v>100</v>
      </c>
      <c r="F36" s="1063"/>
      <c r="G36" s="1063"/>
      <c r="H36" s="1063"/>
      <c r="I36" s="1063"/>
      <c r="J36" s="1063"/>
      <c r="K36" s="1063"/>
      <c r="L36" s="1063"/>
      <c r="M36" s="1063"/>
      <c r="N36" s="1063"/>
      <c r="O36" s="1063"/>
      <c r="P36" s="1063"/>
      <c r="Q36" s="1063"/>
    </row>
    <row r="37" spans="1:17">
      <c r="A37" s="734"/>
      <c r="B37" s="601" t="s">
        <v>948</v>
      </c>
      <c r="C37" s="601" t="s">
        <v>139</v>
      </c>
      <c r="D37" s="601" t="s">
        <v>1133</v>
      </c>
      <c r="E37" s="600">
        <v>100</v>
      </c>
    </row>
    <row r="38" spans="1:17">
      <c r="A38" s="734"/>
      <c r="B38" s="601" t="s">
        <v>976</v>
      </c>
      <c r="C38" s="601" t="s">
        <v>139</v>
      </c>
      <c r="D38" s="601" t="s">
        <v>1133</v>
      </c>
      <c r="E38" s="600">
        <v>100</v>
      </c>
    </row>
    <row r="39" spans="1:17">
      <c r="A39" s="734"/>
      <c r="B39" s="601" t="s">
        <v>949</v>
      </c>
      <c r="C39" s="601" t="s">
        <v>139</v>
      </c>
      <c r="D39" s="601" t="s">
        <v>1134</v>
      </c>
      <c r="E39" s="600">
        <v>100</v>
      </c>
    </row>
    <row r="40" spans="1:17">
      <c r="A40" s="734"/>
      <c r="B40" s="601" t="s">
        <v>977</v>
      </c>
      <c r="C40" s="601" t="s">
        <v>139</v>
      </c>
      <c r="D40" s="601" t="s">
        <v>1134</v>
      </c>
      <c r="E40" s="600">
        <v>100</v>
      </c>
    </row>
    <row r="41" spans="1:17">
      <c r="A41" s="734"/>
      <c r="B41" s="601" t="s">
        <v>1166</v>
      </c>
      <c r="C41" s="601" t="s">
        <v>139</v>
      </c>
      <c r="D41" s="601" t="s">
        <v>1134</v>
      </c>
      <c r="E41" s="600">
        <v>100</v>
      </c>
    </row>
    <row r="42" spans="1:17">
      <c r="A42" s="734"/>
      <c r="B42" s="601" t="s">
        <v>978</v>
      </c>
      <c r="C42" s="601" t="s">
        <v>209</v>
      </c>
      <c r="D42" s="601" t="s">
        <v>1134</v>
      </c>
      <c r="E42" s="600">
        <v>100</v>
      </c>
    </row>
    <row r="43" spans="1:17">
      <c r="A43" s="734"/>
      <c r="B43" s="601" t="s">
        <v>791</v>
      </c>
      <c r="C43" s="601" t="s">
        <v>209</v>
      </c>
      <c r="D43" s="601" t="s">
        <v>1134</v>
      </c>
      <c r="E43" s="600">
        <v>100</v>
      </c>
    </row>
    <row r="44" spans="1:17">
      <c r="A44" s="734"/>
      <c r="B44" s="601" t="s">
        <v>56</v>
      </c>
      <c r="C44" s="601" t="s">
        <v>209</v>
      </c>
      <c r="D44" s="601" t="s">
        <v>1134</v>
      </c>
      <c r="E44" s="600">
        <v>100</v>
      </c>
    </row>
    <row r="45" spans="1:17">
      <c r="A45" s="734"/>
      <c r="B45" s="601" t="s">
        <v>1581</v>
      </c>
      <c r="C45" s="601" t="s">
        <v>209</v>
      </c>
      <c r="D45" s="601" t="s">
        <v>1134</v>
      </c>
      <c r="E45" s="600">
        <v>100</v>
      </c>
      <c r="F45" s="1065"/>
      <c r="G45" s="1065"/>
      <c r="H45" s="1065"/>
      <c r="I45" s="1065"/>
      <c r="J45" s="1065"/>
      <c r="K45" s="1065"/>
      <c r="L45" s="1065"/>
      <c r="M45" s="1065"/>
      <c r="N45" s="1065"/>
      <c r="O45" s="1065"/>
      <c r="P45" s="1065"/>
      <c r="Q45" s="1065"/>
    </row>
    <row r="46" spans="1:17">
      <c r="A46" s="734"/>
      <c r="B46" s="601" t="s">
        <v>788</v>
      </c>
      <c r="C46" s="601" t="s">
        <v>736</v>
      </c>
      <c r="D46" s="601" t="s">
        <v>1134</v>
      </c>
      <c r="E46" s="600">
        <v>100</v>
      </c>
    </row>
    <row r="47" spans="1:17">
      <c r="A47" s="734"/>
      <c r="B47" s="601" t="s">
        <v>404</v>
      </c>
      <c r="C47" s="601" t="s">
        <v>800</v>
      </c>
      <c r="D47" s="601" t="s">
        <v>1134</v>
      </c>
      <c r="E47" s="600">
        <v>100</v>
      </c>
      <c r="F47" s="833"/>
      <c r="G47" s="833"/>
      <c r="H47" s="833"/>
      <c r="I47" s="833"/>
      <c r="J47" s="833"/>
      <c r="K47" s="833"/>
      <c r="L47" s="833"/>
      <c r="M47" s="833"/>
      <c r="N47" s="833"/>
      <c r="O47" s="833"/>
      <c r="P47" s="833"/>
      <c r="Q47" s="833"/>
    </row>
    <row r="48" spans="1:17">
      <c r="A48" s="734"/>
      <c r="B48" s="601" t="s">
        <v>1585</v>
      </c>
      <c r="C48" s="601" t="s">
        <v>800</v>
      </c>
      <c r="D48" s="601" t="s">
        <v>1134</v>
      </c>
      <c r="E48" s="600">
        <v>100</v>
      </c>
      <c r="F48" s="1065"/>
      <c r="G48" s="1065"/>
      <c r="H48" s="1065"/>
      <c r="I48" s="1065"/>
      <c r="J48" s="1065"/>
      <c r="K48" s="1065"/>
      <c r="L48" s="1065"/>
      <c r="M48" s="1065"/>
      <c r="N48" s="1065"/>
      <c r="O48" s="1065"/>
      <c r="P48" s="1065"/>
      <c r="Q48" s="1065"/>
    </row>
    <row r="49" spans="1:17">
      <c r="A49" s="734"/>
      <c r="B49" s="601" t="s">
        <v>1588</v>
      </c>
      <c r="C49" s="601" t="s">
        <v>800</v>
      </c>
      <c r="D49" s="601" t="s">
        <v>1134</v>
      </c>
      <c r="E49" s="600">
        <v>100</v>
      </c>
      <c r="F49" s="1065"/>
      <c r="G49" s="1065"/>
      <c r="H49" s="1065"/>
      <c r="I49" s="1065"/>
      <c r="J49" s="1065"/>
      <c r="K49" s="1065"/>
      <c r="L49" s="1065"/>
      <c r="M49" s="1065"/>
      <c r="N49" s="1065"/>
      <c r="O49" s="1065"/>
      <c r="P49" s="1065"/>
      <c r="Q49" s="1065"/>
    </row>
    <row r="50" spans="1:17">
      <c r="A50" s="734"/>
      <c r="B50" s="601" t="s">
        <v>787</v>
      </c>
      <c r="C50" s="601" t="s">
        <v>797</v>
      </c>
      <c r="D50" s="601" t="s">
        <v>1133</v>
      </c>
      <c r="E50" s="600">
        <v>100</v>
      </c>
      <c r="F50" s="833"/>
      <c r="G50" s="833"/>
      <c r="H50" s="833"/>
      <c r="I50" s="833"/>
      <c r="J50" s="833"/>
      <c r="K50" s="833"/>
      <c r="L50" s="833"/>
      <c r="M50" s="833"/>
      <c r="N50" s="833"/>
      <c r="O50" s="833"/>
      <c r="P50" s="833"/>
      <c r="Q50" s="833"/>
    </row>
    <row r="51" spans="1:17">
      <c r="A51" s="734"/>
      <c r="B51" s="601" t="s">
        <v>1563</v>
      </c>
      <c r="C51" s="601" t="s">
        <v>797</v>
      </c>
      <c r="D51" s="601" t="s">
        <v>1134</v>
      </c>
      <c r="E51" s="600">
        <v>100</v>
      </c>
      <c r="F51" s="1062"/>
      <c r="G51" s="1062"/>
      <c r="H51" s="1062"/>
      <c r="I51" s="1062"/>
      <c r="J51" s="1062"/>
      <c r="K51" s="1062"/>
      <c r="L51" s="1062"/>
      <c r="M51" s="1062"/>
      <c r="N51" s="1062"/>
      <c r="O51" s="1062"/>
      <c r="P51" s="1062"/>
      <c r="Q51" s="1062"/>
    </row>
    <row r="52" spans="1:17">
      <c r="A52" s="734"/>
      <c r="B52" s="601" t="s">
        <v>1570</v>
      </c>
      <c r="C52" s="601" t="s">
        <v>797</v>
      </c>
      <c r="D52" s="601" t="s">
        <v>1134</v>
      </c>
      <c r="E52" s="600">
        <v>100</v>
      </c>
      <c r="F52" s="1063"/>
      <c r="G52" s="1063"/>
      <c r="H52" s="1063"/>
      <c r="I52" s="1063"/>
      <c r="J52" s="1063"/>
      <c r="K52" s="1063"/>
      <c r="L52" s="1063"/>
      <c r="M52" s="1063"/>
      <c r="N52" s="1063"/>
      <c r="O52" s="1063"/>
      <c r="P52" s="1063"/>
      <c r="Q52" s="1063"/>
    </row>
    <row r="53" spans="1:17">
      <c r="A53" s="734"/>
      <c r="B53" s="601" t="s">
        <v>1382</v>
      </c>
      <c r="C53" s="601" t="s">
        <v>205</v>
      </c>
      <c r="D53" s="601" t="s">
        <v>1134</v>
      </c>
      <c r="E53" s="600">
        <v>100</v>
      </c>
      <c r="F53" s="833"/>
      <c r="G53" s="833"/>
      <c r="H53" s="833"/>
      <c r="I53" s="833"/>
      <c r="J53" s="833"/>
      <c r="K53" s="833"/>
      <c r="L53" s="833"/>
      <c r="M53" s="833"/>
      <c r="N53" s="833"/>
      <c r="O53" s="833"/>
      <c r="P53" s="833"/>
      <c r="Q53" s="833"/>
    </row>
    <row r="54" spans="1:17">
      <c r="A54" s="734"/>
      <c r="B54" s="601" t="s">
        <v>786</v>
      </c>
      <c r="C54" s="601" t="s">
        <v>205</v>
      </c>
      <c r="D54" s="601" t="s">
        <v>1133</v>
      </c>
      <c r="E54" s="600">
        <v>100</v>
      </c>
      <c r="F54" s="861"/>
      <c r="G54" s="861"/>
      <c r="H54" s="861"/>
      <c r="I54" s="861"/>
      <c r="J54" s="861"/>
      <c r="K54" s="861"/>
      <c r="L54" s="861"/>
      <c r="M54" s="861"/>
      <c r="N54" s="861"/>
      <c r="O54" s="861"/>
      <c r="P54" s="861"/>
      <c r="Q54" s="861"/>
    </row>
    <row r="55" spans="1:17">
      <c r="A55" s="734"/>
      <c r="B55" s="601" t="s">
        <v>1580</v>
      </c>
      <c r="C55" s="601" t="s">
        <v>205</v>
      </c>
      <c r="D55" s="601" t="s">
        <v>1134</v>
      </c>
      <c r="E55" s="600">
        <v>100</v>
      </c>
      <c r="F55" s="1065"/>
      <c r="G55" s="1065"/>
      <c r="H55" s="1065"/>
      <c r="I55" s="1065"/>
      <c r="J55" s="1065"/>
      <c r="K55" s="1065"/>
      <c r="L55" s="1065"/>
      <c r="M55" s="1065"/>
      <c r="N55" s="1065"/>
      <c r="O55" s="1065"/>
      <c r="P55" s="1065"/>
      <c r="Q55" s="1065"/>
    </row>
    <row r="56" spans="1:17">
      <c r="A56" s="734"/>
      <c r="B56" s="601" t="s">
        <v>1175</v>
      </c>
      <c r="C56" s="601" t="s">
        <v>798</v>
      </c>
      <c r="D56" s="601" t="s">
        <v>1134</v>
      </c>
      <c r="E56" s="600">
        <v>100</v>
      </c>
      <c r="F56" s="861"/>
      <c r="G56" s="861"/>
      <c r="H56" s="861"/>
      <c r="I56" s="861"/>
      <c r="J56" s="861"/>
      <c r="K56" s="861"/>
      <c r="L56" s="861"/>
      <c r="M56" s="861"/>
      <c r="N56" s="861"/>
      <c r="O56" s="861"/>
      <c r="P56" s="861"/>
      <c r="Q56" s="861"/>
    </row>
    <row r="57" spans="1:17">
      <c r="A57" s="734"/>
      <c r="B57" s="601" t="s">
        <v>1160</v>
      </c>
      <c r="C57" s="601" t="s">
        <v>796</v>
      </c>
      <c r="D57" s="601" t="s">
        <v>1134</v>
      </c>
      <c r="E57" s="600">
        <v>100</v>
      </c>
      <c r="F57" s="861"/>
      <c r="G57" s="861"/>
      <c r="H57" s="861"/>
      <c r="I57" s="861"/>
      <c r="J57" s="861"/>
      <c r="K57" s="861"/>
      <c r="L57" s="861"/>
      <c r="M57" s="861"/>
      <c r="N57" s="861"/>
      <c r="O57" s="861"/>
      <c r="P57" s="861"/>
      <c r="Q57" s="861"/>
    </row>
    <row r="58" spans="1:17">
      <c r="A58" s="734"/>
      <c r="B58" s="601" t="s">
        <v>860</v>
      </c>
      <c r="C58" s="601" t="s">
        <v>796</v>
      </c>
      <c r="D58" s="601" t="s">
        <v>1133</v>
      </c>
      <c r="E58" s="600">
        <v>100</v>
      </c>
      <c r="F58" s="861"/>
      <c r="G58" s="861"/>
      <c r="H58" s="861"/>
      <c r="I58" s="861"/>
      <c r="J58" s="861"/>
      <c r="K58" s="861"/>
      <c r="L58" s="861"/>
      <c r="M58" s="861"/>
      <c r="N58" s="861"/>
      <c r="O58" s="861"/>
      <c r="P58" s="861"/>
      <c r="Q58" s="861"/>
    </row>
    <row r="59" spans="1:17">
      <c r="A59" s="734"/>
      <c r="B59" s="601" t="s">
        <v>1571</v>
      </c>
      <c r="C59" s="601" t="s">
        <v>796</v>
      </c>
      <c r="D59" s="601" t="s">
        <v>1134</v>
      </c>
      <c r="E59" s="600">
        <v>100</v>
      </c>
      <c r="F59" s="1063"/>
      <c r="G59" s="1063"/>
      <c r="H59" s="1063"/>
      <c r="I59" s="1063"/>
      <c r="J59" s="1063"/>
      <c r="K59" s="1063"/>
      <c r="L59" s="1063"/>
      <c r="M59" s="1063"/>
      <c r="N59" s="1063"/>
      <c r="O59" s="1063"/>
      <c r="P59" s="1063"/>
      <c r="Q59" s="1063"/>
    </row>
    <row r="60" spans="1:17">
      <c r="A60" s="734"/>
      <c r="B60" s="601" t="s">
        <v>1575</v>
      </c>
      <c r="C60" s="601" t="s">
        <v>796</v>
      </c>
      <c r="D60" s="601" t="s">
        <v>1134</v>
      </c>
      <c r="E60" s="600">
        <v>100</v>
      </c>
      <c r="F60" s="1065"/>
      <c r="G60" s="1065"/>
      <c r="H60" s="1065"/>
      <c r="I60" s="1065"/>
      <c r="J60" s="1065"/>
      <c r="K60" s="1065"/>
      <c r="L60" s="1065"/>
      <c r="M60" s="1065"/>
      <c r="N60" s="1065"/>
      <c r="O60" s="1065"/>
      <c r="P60" s="1065"/>
      <c r="Q60" s="1065"/>
    </row>
    <row r="61" spans="1:17" ht="11.25" customHeight="1">
      <c r="A61" s="734" t="s">
        <v>363</v>
      </c>
      <c r="B61" s="601" t="s">
        <v>715</v>
      </c>
      <c r="C61" s="601" t="s">
        <v>411</v>
      </c>
      <c r="D61" s="601" t="s">
        <v>1134</v>
      </c>
      <c r="E61" s="600">
        <v>100</v>
      </c>
    </row>
    <row r="62" spans="1:17">
      <c r="A62" s="734"/>
      <c r="B62" s="601" t="s">
        <v>286</v>
      </c>
      <c r="C62" s="601" t="s">
        <v>222</v>
      </c>
      <c r="D62" s="601" t="s">
        <v>1133</v>
      </c>
      <c r="E62" s="600">
        <v>100</v>
      </c>
    </row>
    <row r="63" spans="1:17">
      <c r="A63" s="734"/>
      <c r="B63" s="601" t="s">
        <v>650</v>
      </c>
      <c r="C63" s="601" t="s">
        <v>214</v>
      </c>
      <c r="D63" s="601" t="s">
        <v>1134</v>
      </c>
      <c r="E63" s="600">
        <v>100</v>
      </c>
    </row>
    <row r="64" spans="1:17">
      <c r="A64" s="734"/>
      <c r="B64" s="601" t="s">
        <v>834</v>
      </c>
      <c r="C64" s="601" t="s">
        <v>220</v>
      </c>
      <c r="D64" s="601" t="s">
        <v>1134</v>
      </c>
      <c r="E64" s="600">
        <v>100</v>
      </c>
    </row>
    <row r="65" spans="1:17">
      <c r="A65" s="734"/>
      <c r="B65" s="601" t="s">
        <v>835</v>
      </c>
      <c r="C65" s="601" t="s">
        <v>223</v>
      </c>
      <c r="D65" s="601" t="s">
        <v>1134</v>
      </c>
      <c r="E65" s="600">
        <v>100</v>
      </c>
    </row>
    <row r="66" spans="1:17">
      <c r="A66" s="734"/>
      <c r="B66" s="601" t="s">
        <v>917</v>
      </c>
      <c r="C66" s="601" t="s">
        <v>217</v>
      </c>
      <c r="D66" s="601" t="s">
        <v>1134</v>
      </c>
      <c r="E66" s="600">
        <v>100</v>
      </c>
    </row>
    <row r="67" spans="1:17">
      <c r="A67" s="734"/>
      <c r="B67" s="601" t="s">
        <v>836</v>
      </c>
      <c r="C67" s="601" t="s">
        <v>221</v>
      </c>
      <c r="D67" s="601" t="s">
        <v>1134</v>
      </c>
      <c r="E67" s="600">
        <v>100</v>
      </c>
    </row>
    <row r="68" spans="1:17">
      <c r="A68" s="734"/>
      <c r="B68" s="601" t="s">
        <v>710</v>
      </c>
      <c r="C68" s="601" t="s">
        <v>219</v>
      </c>
      <c r="D68" s="601" t="s">
        <v>1134</v>
      </c>
      <c r="E68" s="600">
        <v>100</v>
      </c>
    </row>
    <row r="69" spans="1:17">
      <c r="A69" s="734"/>
      <c r="B69" s="601" t="s">
        <v>1006</v>
      </c>
      <c r="C69" s="601" t="s">
        <v>1014</v>
      </c>
      <c r="D69" s="601" t="s">
        <v>1134</v>
      </c>
      <c r="E69" s="600">
        <v>100</v>
      </c>
    </row>
    <row r="70" spans="1:17">
      <c r="A70" s="734"/>
      <c r="B70" s="601" t="s">
        <v>888</v>
      </c>
      <c r="C70" s="601" t="s">
        <v>215</v>
      </c>
      <c r="D70" s="601" t="s">
        <v>1134</v>
      </c>
      <c r="E70" s="600">
        <v>100</v>
      </c>
    </row>
    <row r="71" spans="1:17">
      <c r="A71" s="734"/>
      <c r="B71" s="601" t="s">
        <v>1009</v>
      </c>
      <c r="C71" s="601" t="s">
        <v>412</v>
      </c>
      <c r="D71" s="601" t="s">
        <v>1134</v>
      </c>
      <c r="E71" s="600">
        <v>100</v>
      </c>
    </row>
    <row r="72" spans="1:17">
      <c r="A72" s="734"/>
      <c r="B72" s="601" t="s">
        <v>33</v>
      </c>
      <c r="C72" s="601" t="s">
        <v>224</v>
      </c>
      <c r="D72" s="601" t="s">
        <v>1134</v>
      </c>
      <c r="E72" s="600">
        <v>100</v>
      </c>
    </row>
    <row r="73" spans="1:17">
      <c r="A73" s="734"/>
      <c r="B73" s="601" t="s">
        <v>646</v>
      </c>
      <c r="C73" s="601" t="s">
        <v>216</v>
      </c>
      <c r="D73" s="601" t="s">
        <v>1134</v>
      </c>
      <c r="E73" s="600">
        <v>100</v>
      </c>
    </row>
    <row r="74" spans="1:17">
      <c r="A74" s="734"/>
      <c r="B74" s="601" t="s">
        <v>1011</v>
      </c>
      <c r="C74" s="601" t="s">
        <v>1013</v>
      </c>
      <c r="D74" s="601" t="s">
        <v>1134</v>
      </c>
      <c r="E74" s="600">
        <v>100</v>
      </c>
    </row>
    <row r="75" spans="1:17">
      <c r="A75" s="734"/>
      <c r="B75" s="601" t="s">
        <v>1215</v>
      </c>
      <c r="C75" s="601" t="s">
        <v>213</v>
      </c>
      <c r="D75" s="601" t="s">
        <v>1134</v>
      </c>
      <c r="E75" s="600">
        <v>100</v>
      </c>
    </row>
    <row r="76" spans="1:17">
      <c r="A76" s="734"/>
      <c r="B76" s="601" t="s">
        <v>1246</v>
      </c>
      <c r="C76" s="601" t="s">
        <v>213</v>
      </c>
      <c r="D76" s="601" t="s">
        <v>1134</v>
      </c>
      <c r="E76" s="600">
        <v>100</v>
      </c>
    </row>
    <row r="77" spans="1:17">
      <c r="A77" s="734"/>
      <c r="B77" s="601" t="s">
        <v>1248</v>
      </c>
      <c r="C77" s="601" t="s">
        <v>213</v>
      </c>
      <c r="D77" s="601" t="s">
        <v>1134</v>
      </c>
      <c r="E77" s="600">
        <v>100</v>
      </c>
    </row>
    <row r="78" spans="1:17">
      <c r="A78" s="734"/>
      <c r="B78" s="601" t="s">
        <v>887</v>
      </c>
      <c r="C78" s="601" t="s">
        <v>213</v>
      </c>
      <c r="D78" s="601" t="s">
        <v>1134</v>
      </c>
      <c r="E78" s="600">
        <v>100</v>
      </c>
      <c r="F78" s="833"/>
      <c r="G78" s="833"/>
      <c r="H78" s="833"/>
      <c r="I78" s="833"/>
      <c r="J78" s="833"/>
      <c r="K78" s="833"/>
      <c r="L78" s="833"/>
      <c r="M78" s="833"/>
      <c r="N78" s="833"/>
      <c r="O78" s="833"/>
      <c r="P78" s="833"/>
      <c r="Q78" s="833"/>
    </row>
    <row r="79" spans="1:17">
      <c r="A79" s="734"/>
      <c r="B79" s="601" t="s">
        <v>1167</v>
      </c>
      <c r="C79" s="601" t="s">
        <v>213</v>
      </c>
      <c r="D79" s="601" t="s">
        <v>1134</v>
      </c>
      <c r="E79" s="600">
        <v>100</v>
      </c>
      <c r="F79" s="861"/>
      <c r="G79" s="861"/>
      <c r="H79" s="861"/>
      <c r="I79" s="861"/>
      <c r="J79" s="861"/>
      <c r="K79" s="861"/>
      <c r="L79" s="861"/>
      <c r="M79" s="861"/>
      <c r="N79" s="861"/>
      <c r="O79" s="861"/>
      <c r="P79" s="861"/>
      <c r="Q79" s="861"/>
    </row>
    <row r="80" spans="1:17">
      <c r="A80" s="734"/>
      <c r="B80" s="601" t="s">
        <v>886</v>
      </c>
      <c r="C80" s="601" t="s">
        <v>213</v>
      </c>
      <c r="D80" s="601" t="s">
        <v>1134</v>
      </c>
      <c r="E80" s="600">
        <v>100</v>
      </c>
      <c r="F80" s="861"/>
      <c r="G80" s="861"/>
      <c r="H80" s="861"/>
      <c r="I80" s="861"/>
      <c r="J80" s="861"/>
      <c r="K80" s="861"/>
      <c r="L80" s="861"/>
      <c r="M80" s="861"/>
      <c r="N80" s="861"/>
      <c r="O80" s="861"/>
      <c r="P80" s="861"/>
      <c r="Q80" s="861"/>
    </row>
    <row r="81" spans="1:17">
      <c r="A81" s="734"/>
      <c r="B81" s="601" t="s">
        <v>1568</v>
      </c>
      <c r="C81" s="601" t="s">
        <v>213</v>
      </c>
      <c r="D81" s="601" t="s">
        <v>1134</v>
      </c>
      <c r="E81" s="600">
        <v>100</v>
      </c>
      <c r="F81" s="1065"/>
      <c r="G81" s="1065"/>
      <c r="H81" s="1065"/>
      <c r="I81" s="1065"/>
      <c r="J81" s="1065"/>
      <c r="K81" s="1065"/>
      <c r="L81" s="1065"/>
      <c r="M81" s="1065"/>
      <c r="N81" s="1065"/>
      <c r="O81" s="1065"/>
      <c r="P81" s="1065"/>
      <c r="Q81" s="1065"/>
    </row>
    <row r="82" spans="1:17">
      <c r="A82" s="734"/>
      <c r="B82" s="601" t="s">
        <v>1574</v>
      </c>
      <c r="C82" s="601" t="s">
        <v>213</v>
      </c>
      <c r="D82" s="601" t="s">
        <v>1134</v>
      </c>
      <c r="E82" s="600">
        <v>100</v>
      </c>
      <c r="F82" s="1063"/>
      <c r="G82" s="1063"/>
      <c r="H82" s="1063"/>
      <c r="I82" s="1063"/>
      <c r="J82" s="1063"/>
      <c r="K82" s="1063"/>
      <c r="L82" s="1063"/>
      <c r="M82" s="1063"/>
      <c r="N82" s="1063"/>
      <c r="O82" s="1063"/>
      <c r="P82" s="1063"/>
      <c r="Q82" s="1063"/>
    </row>
    <row r="83" spans="1:17">
      <c r="A83" s="734" t="s">
        <v>362</v>
      </c>
      <c r="B83" s="601" t="s">
        <v>278</v>
      </c>
      <c r="C83" s="601" t="s">
        <v>413</v>
      </c>
      <c r="D83" s="601" t="s">
        <v>1134</v>
      </c>
      <c r="E83" s="600">
        <v>100</v>
      </c>
    </row>
    <row r="84" spans="1:17">
      <c r="A84" s="734"/>
      <c r="B84" s="601" t="s">
        <v>407</v>
      </c>
      <c r="C84" s="601" t="s">
        <v>414</v>
      </c>
      <c r="D84" s="601" t="s">
        <v>1134</v>
      </c>
      <c r="E84" s="600">
        <v>100</v>
      </c>
    </row>
    <row r="85" spans="1:17">
      <c r="A85" s="734"/>
      <c r="B85" s="601" t="s">
        <v>61</v>
      </c>
      <c r="C85" s="601" t="s">
        <v>463</v>
      </c>
      <c r="D85" s="601" t="s">
        <v>1134</v>
      </c>
      <c r="E85" s="600">
        <v>100</v>
      </c>
    </row>
    <row r="86" spans="1:17">
      <c r="A86" s="734"/>
      <c r="B86" s="601" t="s">
        <v>1168</v>
      </c>
      <c r="C86" s="601" t="s">
        <v>140</v>
      </c>
      <c r="D86" s="601" t="s">
        <v>1134</v>
      </c>
      <c r="E86" s="600">
        <v>100</v>
      </c>
    </row>
    <row r="87" spans="1:17">
      <c r="A87" s="734"/>
      <c r="B87" s="601" t="s">
        <v>274</v>
      </c>
      <c r="C87" s="601" t="s">
        <v>140</v>
      </c>
      <c r="D87" s="601" t="s">
        <v>1133</v>
      </c>
      <c r="E87" s="600">
        <v>100</v>
      </c>
    </row>
    <row r="88" spans="1:17">
      <c r="A88" s="734"/>
      <c r="B88" s="601" t="s">
        <v>1012</v>
      </c>
      <c r="C88" s="601" t="s">
        <v>140</v>
      </c>
      <c r="D88" s="601" t="s">
        <v>1134</v>
      </c>
      <c r="E88" s="600">
        <v>100</v>
      </c>
    </row>
    <row r="89" spans="1:17">
      <c r="A89" s="734"/>
      <c r="B89" s="601" t="s">
        <v>1003</v>
      </c>
      <c r="C89" s="601" t="s">
        <v>140</v>
      </c>
      <c r="D89" s="601" t="s">
        <v>1134</v>
      </c>
      <c r="E89" s="600">
        <v>95</v>
      </c>
    </row>
    <row r="90" spans="1:17">
      <c r="A90" s="734"/>
      <c r="B90" s="601" t="s">
        <v>980</v>
      </c>
      <c r="C90" s="601" t="s">
        <v>140</v>
      </c>
      <c r="D90" s="601" t="s">
        <v>1133</v>
      </c>
      <c r="E90" s="600">
        <v>100</v>
      </c>
    </row>
    <row r="91" spans="1:17">
      <c r="A91" s="734"/>
      <c r="B91" s="601" t="s">
        <v>979</v>
      </c>
      <c r="C91" s="601" t="s">
        <v>140</v>
      </c>
      <c r="D91" s="601" t="s">
        <v>1133</v>
      </c>
      <c r="E91" s="600">
        <v>55</v>
      </c>
    </row>
    <row r="92" spans="1:17">
      <c r="A92" s="734"/>
      <c r="B92" s="601" t="s">
        <v>1578</v>
      </c>
      <c r="C92" s="601" t="s">
        <v>226</v>
      </c>
      <c r="D92" s="601" t="s">
        <v>1134</v>
      </c>
      <c r="E92" s="600">
        <v>100</v>
      </c>
      <c r="F92" s="1065"/>
      <c r="G92" s="1065"/>
      <c r="H92" s="1065"/>
      <c r="I92" s="1065"/>
      <c r="J92" s="1065"/>
      <c r="K92" s="1065"/>
      <c r="L92" s="1065"/>
      <c r="M92" s="1065"/>
      <c r="N92" s="1065"/>
      <c r="O92" s="1065"/>
      <c r="P92" s="1065"/>
      <c r="Q92" s="1065"/>
    </row>
    <row r="93" spans="1:17">
      <c r="A93" s="734"/>
      <c r="B93" s="601" t="s">
        <v>865</v>
      </c>
      <c r="C93" s="601" t="s">
        <v>226</v>
      </c>
      <c r="D93" s="601" t="s">
        <v>1134</v>
      </c>
      <c r="E93" s="600">
        <v>100</v>
      </c>
    </row>
    <row r="94" spans="1:17">
      <c r="A94" s="734"/>
      <c r="B94" s="601" t="s">
        <v>280</v>
      </c>
      <c r="C94" s="601" t="s">
        <v>230</v>
      </c>
      <c r="D94" s="601" t="s">
        <v>1133</v>
      </c>
      <c r="E94" s="600">
        <v>100</v>
      </c>
    </row>
    <row r="95" spans="1:17">
      <c r="A95" s="734"/>
      <c r="B95" s="601" t="s">
        <v>982</v>
      </c>
      <c r="C95" s="601" t="s">
        <v>799</v>
      </c>
      <c r="D95" s="601" t="s">
        <v>1133</v>
      </c>
      <c r="E95" s="600">
        <v>99.7</v>
      </c>
    </row>
    <row r="96" spans="1:17">
      <c r="A96" s="734"/>
      <c r="B96" s="601" t="s">
        <v>1007</v>
      </c>
      <c r="C96" s="601" t="s">
        <v>1015</v>
      </c>
      <c r="D96" s="601" t="s">
        <v>1134</v>
      </c>
      <c r="E96" s="600">
        <v>100</v>
      </c>
    </row>
    <row r="97" spans="1:17">
      <c r="A97" s="734"/>
      <c r="B97" s="601" t="s">
        <v>60</v>
      </c>
      <c r="C97" s="601" t="s">
        <v>231</v>
      </c>
      <c r="D97" s="601" t="s">
        <v>1134</v>
      </c>
      <c r="E97" s="600">
        <v>100</v>
      </c>
    </row>
    <row r="98" spans="1:17">
      <c r="A98" s="734"/>
      <c r="B98" s="601" t="s">
        <v>277</v>
      </c>
      <c r="C98" s="601" t="s">
        <v>397</v>
      </c>
      <c r="D98" s="601" t="s">
        <v>1134</v>
      </c>
      <c r="E98" s="600">
        <v>100</v>
      </c>
    </row>
    <row r="99" spans="1:17">
      <c r="A99" s="734"/>
      <c r="B99" s="601" t="s">
        <v>1010</v>
      </c>
      <c r="C99" s="601" t="s">
        <v>1016</v>
      </c>
      <c r="D99" s="601" t="s">
        <v>1134</v>
      </c>
      <c r="E99" s="600">
        <v>100</v>
      </c>
    </row>
    <row r="100" spans="1:17">
      <c r="A100" s="734"/>
      <c r="B100" s="601" t="s">
        <v>62</v>
      </c>
      <c r="C100" s="601" t="s">
        <v>464</v>
      </c>
      <c r="D100" s="601" t="s">
        <v>1134</v>
      </c>
      <c r="E100" s="600">
        <v>60</v>
      </c>
    </row>
    <row r="101" spans="1:17">
      <c r="A101" s="734"/>
      <c r="B101" s="601" t="s">
        <v>1249</v>
      </c>
      <c r="C101" s="601" t="s">
        <v>225</v>
      </c>
      <c r="D101" s="601" t="s">
        <v>1134</v>
      </c>
      <c r="E101" s="600">
        <v>100</v>
      </c>
    </row>
    <row r="102" spans="1:17">
      <c r="A102" s="734"/>
      <c r="B102" s="601" t="s">
        <v>82</v>
      </c>
      <c r="C102" s="601" t="s">
        <v>225</v>
      </c>
      <c r="D102" s="601" t="s">
        <v>1134</v>
      </c>
      <c r="E102" s="600">
        <v>100</v>
      </c>
    </row>
    <row r="103" spans="1:17">
      <c r="A103" s="734"/>
      <c r="B103" s="601" t="s">
        <v>981</v>
      </c>
      <c r="C103" s="601" t="s">
        <v>225</v>
      </c>
      <c r="D103" s="601" t="s">
        <v>1134</v>
      </c>
      <c r="E103" s="600">
        <v>100</v>
      </c>
    </row>
    <row r="104" spans="1:17">
      <c r="A104" s="734"/>
      <c r="B104" s="601" t="s">
        <v>1595</v>
      </c>
      <c r="C104" s="601" t="s">
        <v>225</v>
      </c>
      <c r="D104" s="601" t="s">
        <v>1134</v>
      </c>
      <c r="E104" s="600">
        <v>100</v>
      </c>
      <c r="F104" s="1065"/>
      <c r="G104" s="1065"/>
      <c r="H104" s="1065"/>
      <c r="I104" s="1065"/>
      <c r="J104" s="1065"/>
      <c r="K104" s="1065"/>
      <c r="L104" s="1065"/>
      <c r="M104" s="1065"/>
      <c r="N104" s="1065"/>
      <c r="O104" s="1065"/>
      <c r="P104" s="1065"/>
      <c r="Q104" s="1065"/>
    </row>
    <row r="105" spans="1:17">
      <c r="A105" s="734"/>
      <c r="B105" s="601" t="s">
        <v>275</v>
      </c>
      <c r="C105" s="601" t="s">
        <v>227</v>
      </c>
      <c r="D105" s="601" t="s">
        <v>1134</v>
      </c>
      <c r="E105" s="600">
        <v>100</v>
      </c>
    </row>
    <row r="106" spans="1:17">
      <c r="A106" s="734"/>
      <c r="B106" s="601" t="s">
        <v>406</v>
      </c>
      <c r="C106" s="601" t="s">
        <v>218</v>
      </c>
      <c r="D106" s="601" t="s">
        <v>1134</v>
      </c>
      <c r="E106" s="600">
        <v>100</v>
      </c>
    </row>
    <row r="107" spans="1:17">
      <c r="A107" s="734"/>
      <c r="B107" s="601" t="s">
        <v>276</v>
      </c>
      <c r="C107" s="601" t="s">
        <v>228</v>
      </c>
      <c r="D107" s="601" t="s">
        <v>1134</v>
      </c>
      <c r="E107" s="600">
        <v>100</v>
      </c>
    </row>
    <row r="108" spans="1:17">
      <c r="A108" s="734"/>
      <c r="B108" s="601" t="s">
        <v>793</v>
      </c>
      <c r="C108" s="601" t="s">
        <v>211</v>
      </c>
      <c r="D108" s="601" t="s">
        <v>1134</v>
      </c>
      <c r="E108" s="600">
        <v>51</v>
      </c>
      <c r="F108" s="996"/>
      <c r="G108" s="996"/>
      <c r="H108" s="996"/>
      <c r="I108" s="996"/>
      <c r="J108" s="996"/>
      <c r="K108" s="996"/>
      <c r="L108" s="996"/>
      <c r="M108" s="996"/>
      <c r="N108" s="996"/>
      <c r="O108" s="996"/>
      <c r="P108" s="996"/>
      <c r="Q108" s="996"/>
    </row>
    <row r="109" spans="1:17">
      <c r="A109" s="734"/>
      <c r="B109" s="601" t="s">
        <v>63</v>
      </c>
      <c r="C109" s="601" t="s">
        <v>465</v>
      </c>
      <c r="D109" s="601" t="s">
        <v>1134</v>
      </c>
      <c r="E109" s="600">
        <v>100</v>
      </c>
    </row>
    <row r="110" spans="1:17">
      <c r="A110" s="734"/>
      <c r="B110" s="601" t="s">
        <v>1027</v>
      </c>
      <c r="C110" s="601" t="s">
        <v>465</v>
      </c>
      <c r="D110" s="601" t="s">
        <v>1134</v>
      </c>
      <c r="E110" s="600">
        <v>100</v>
      </c>
    </row>
    <row r="111" spans="1:17">
      <c r="A111" s="734"/>
      <c r="B111" s="601" t="s">
        <v>1002</v>
      </c>
      <c r="C111" s="601" t="s">
        <v>465</v>
      </c>
      <c r="D111" s="601" t="s">
        <v>1134</v>
      </c>
      <c r="E111" s="600">
        <v>100</v>
      </c>
    </row>
    <row r="112" spans="1:17">
      <c r="A112" s="734"/>
      <c r="B112" s="601" t="s">
        <v>81</v>
      </c>
      <c r="C112" s="601" t="s">
        <v>465</v>
      </c>
      <c r="D112" s="601" t="s">
        <v>1134</v>
      </c>
      <c r="E112" s="600">
        <v>100</v>
      </c>
    </row>
    <row r="113" spans="1:17">
      <c r="A113" s="734"/>
      <c r="B113" s="601" t="s">
        <v>1583</v>
      </c>
      <c r="C113" s="601" t="s">
        <v>465</v>
      </c>
      <c r="D113" s="601" t="s">
        <v>1134</v>
      </c>
      <c r="E113" s="600">
        <v>100</v>
      </c>
      <c r="F113" s="1065"/>
      <c r="G113" s="1065"/>
      <c r="H113" s="1065"/>
      <c r="I113" s="1065"/>
      <c r="J113" s="1065"/>
      <c r="K113" s="1065"/>
      <c r="L113" s="1065"/>
      <c r="M113" s="1065"/>
      <c r="N113" s="1065"/>
      <c r="O113" s="1065"/>
      <c r="P113" s="1065"/>
      <c r="Q113" s="1065"/>
    </row>
    <row r="114" spans="1:17">
      <c r="A114" s="734" t="s">
        <v>654</v>
      </c>
      <c r="B114" s="601" t="s">
        <v>279</v>
      </c>
      <c r="C114" s="601" t="s">
        <v>229</v>
      </c>
      <c r="D114" s="601" t="s">
        <v>1134</v>
      </c>
      <c r="E114" s="600">
        <v>100</v>
      </c>
    </row>
    <row r="115" spans="1:17">
      <c r="A115" s="734"/>
      <c r="B115" s="601" t="s">
        <v>1586</v>
      </c>
      <c r="C115" s="601" t="s">
        <v>1587</v>
      </c>
      <c r="D115" s="601" t="s">
        <v>1134</v>
      </c>
      <c r="E115" s="600">
        <v>100</v>
      </c>
      <c r="F115" s="1065"/>
      <c r="G115" s="1065"/>
      <c r="H115" s="1065"/>
      <c r="I115" s="1065"/>
      <c r="J115" s="1065"/>
      <c r="K115" s="1065"/>
      <c r="L115" s="1065"/>
      <c r="M115" s="1065"/>
      <c r="N115" s="1065"/>
      <c r="O115" s="1065"/>
      <c r="P115" s="1065"/>
      <c r="Q115" s="1065"/>
    </row>
    <row r="116" spans="1:17">
      <c r="A116" s="734"/>
      <c r="B116" s="601" t="s">
        <v>408</v>
      </c>
      <c r="C116" s="601" t="s">
        <v>369</v>
      </c>
      <c r="D116" s="601" t="s">
        <v>1134</v>
      </c>
      <c r="E116" s="600">
        <v>100</v>
      </c>
    </row>
    <row r="117" spans="1:17">
      <c r="A117" s="734"/>
      <c r="B117" s="601" t="s">
        <v>55</v>
      </c>
      <c r="C117" s="601" t="s">
        <v>212</v>
      </c>
      <c r="D117" s="601" t="s">
        <v>1134</v>
      </c>
      <c r="E117" s="600">
        <v>100</v>
      </c>
    </row>
    <row r="118" spans="1:17">
      <c r="A118" s="734"/>
      <c r="B118" s="601" t="s">
        <v>1589</v>
      </c>
      <c r="C118" s="601" t="s">
        <v>1090</v>
      </c>
      <c r="D118" s="601" t="s">
        <v>1134</v>
      </c>
      <c r="E118" s="600">
        <v>100</v>
      </c>
      <c r="F118" s="1065"/>
      <c r="G118" s="1065"/>
      <c r="H118" s="1065"/>
      <c r="I118" s="1065"/>
      <c r="J118" s="1065"/>
      <c r="K118" s="1065"/>
      <c r="L118" s="1065"/>
      <c r="M118" s="1065"/>
      <c r="N118" s="1065"/>
      <c r="O118" s="1065"/>
      <c r="P118" s="1065"/>
      <c r="Q118" s="1065"/>
    </row>
    <row r="119" spans="1:17">
      <c r="A119" s="734"/>
      <c r="B119" s="601" t="s">
        <v>1094</v>
      </c>
      <c r="C119" s="601" t="s">
        <v>1093</v>
      </c>
      <c r="D119" s="601" t="s">
        <v>1134</v>
      </c>
      <c r="E119" s="600">
        <v>100</v>
      </c>
    </row>
    <row r="120" spans="1:17">
      <c r="A120" s="734"/>
      <c r="B120" s="601" t="s">
        <v>1005</v>
      </c>
      <c r="C120" s="601" t="s">
        <v>1019</v>
      </c>
      <c r="D120" s="601" t="s">
        <v>1134</v>
      </c>
      <c r="E120" s="600">
        <v>100</v>
      </c>
    </row>
    <row r="121" spans="1:17">
      <c r="A121" s="734"/>
      <c r="B121" s="601" t="s">
        <v>410</v>
      </c>
      <c r="C121" s="601" t="s">
        <v>467</v>
      </c>
      <c r="D121" s="601" t="s">
        <v>1134</v>
      </c>
      <c r="E121" s="600">
        <v>100</v>
      </c>
    </row>
    <row r="122" spans="1:17">
      <c r="A122" s="734"/>
      <c r="B122" s="601" t="s">
        <v>1590</v>
      </c>
      <c r="C122" s="601" t="s">
        <v>1090</v>
      </c>
      <c r="D122" s="601" t="s">
        <v>1134</v>
      </c>
      <c r="E122" s="600">
        <v>100</v>
      </c>
      <c r="F122" s="1065"/>
      <c r="G122" s="1065"/>
      <c r="H122" s="1065"/>
      <c r="I122" s="1065"/>
      <c r="J122" s="1065"/>
      <c r="K122" s="1065"/>
      <c r="L122" s="1065"/>
      <c r="M122" s="1065"/>
      <c r="N122" s="1065"/>
      <c r="O122" s="1065"/>
      <c r="P122" s="1065"/>
      <c r="Q122" s="1065"/>
    </row>
    <row r="123" spans="1:17">
      <c r="A123" s="734"/>
      <c r="B123" s="601" t="s">
        <v>1170</v>
      </c>
      <c r="C123" s="601" t="s">
        <v>1020</v>
      </c>
      <c r="D123" s="601" t="s">
        <v>1134</v>
      </c>
      <c r="E123" s="600">
        <v>100</v>
      </c>
    </row>
    <row r="124" spans="1:17">
      <c r="A124" s="734"/>
      <c r="B124" s="601" t="s">
        <v>1591</v>
      </c>
      <c r="C124" s="601" t="s">
        <v>1592</v>
      </c>
      <c r="D124" s="601" t="s">
        <v>1134</v>
      </c>
      <c r="E124" s="600">
        <v>100</v>
      </c>
      <c r="F124" s="1065"/>
      <c r="G124" s="1065"/>
      <c r="H124" s="1065"/>
      <c r="I124" s="1065"/>
      <c r="J124" s="1065"/>
      <c r="K124" s="1065"/>
      <c r="L124" s="1065"/>
      <c r="M124" s="1065"/>
      <c r="N124" s="1065"/>
      <c r="O124" s="1065"/>
      <c r="P124" s="1065"/>
      <c r="Q124" s="1065"/>
    </row>
    <row r="125" spans="1:17">
      <c r="A125" s="734"/>
      <c r="B125" s="601" t="s">
        <v>73</v>
      </c>
      <c r="C125" s="601" t="s">
        <v>74</v>
      </c>
      <c r="D125" s="601" t="s">
        <v>1134</v>
      </c>
      <c r="E125" s="600">
        <v>100</v>
      </c>
    </row>
    <row r="126" spans="1:17">
      <c r="A126" s="734"/>
      <c r="B126" s="601" t="s">
        <v>1008</v>
      </c>
      <c r="C126" s="601" t="s">
        <v>1017</v>
      </c>
      <c r="D126" s="601" t="s">
        <v>1134</v>
      </c>
      <c r="E126" s="600">
        <v>100</v>
      </c>
    </row>
    <row r="127" spans="1:17">
      <c r="A127" s="734"/>
      <c r="B127" s="601" t="s">
        <v>75</v>
      </c>
      <c r="C127" s="601" t="s">
        <v>76</v>
      </c>
      <c r="D127" s="601" t="s">
        <v>1134</v>
      </c>
      <c r="E127" s="600">
        <v>100</v>
      </c>
    </row>
    <row r="128" spans="1:17">
      <c r="A128" s="734"/>
      <c r="B128" s="601" t="s">
        <v>368</v>
      </c>
      <c r="C128" s="601" t="s">
        <v>398</v>
      </c>
      <c r="D128" s="601" t="s">
        <v>1134</v>
      </c>
      <c r="E128" s="600">
        <v>100</v>
      </c>
    </row>
    <row r="129" spans="1:5">
      <c r="A129" s="734"/>
      <c r="B129" s="601" t="s">
        <v>64</v>
      </c>
      <c r="C129" s="601" t="s">
        <v>466</v>
      </c>
      <c r="D129" s="601" t="s">
        <v>1134</v>
      </c>
      <c r="E129" s="600">
        <v>100</v>
      </c>
    </row>
    <row r="130" spans="1:5">
      <c r="A130" s="734"/>
      <c r="B130" s="601" t="s">
        <v>79</v>
      </c>
      <c r="C130" s="601" t="s">
        <v>80</v>
      </c>
      <c r="D130" s="601" t="s">
        <v>1134</v>
      </c>
      <c r="E130" s="600">
        <v>100</v>
      </c>
    </row>
    <row r="131" spans="1:5">
      <c r="A131" s="734"/>
      <c r="B131" s="601" t="s">
        <v>78</v>
      </c>
      <c r="C131" s="601" t="s">
        <v>77</v>
      </c>
      <c r="D131" s="601" t="s">
        <v>1134</v>
      </c>
      <c r="E131" s="600">
        <v>100</v>
      </c>
    </row>
    <row r="132" spans="1:5">
      <c r="A132" s="408"/>
      <c r="B132" s="728"/>
      <c r="C132" s="731"/>
      <c r="D132" s="732"/>
      <c r="E132" s="221"/>
    </row>
    <row r="133" spans="1:5" ht="43.5" customHeight="1">
      <c r="A133" s="1131" t="s">
        <v>1095</v>
      </c>
      <c r="B133" s="1303"/>
      <c r="C133" s="1303"/>
      <c r="D133" s="1303"/>
      <c r="E133" s="1131"/>
    </row>
    <row r="134" spans="1:5">
      <c r="B134" s="728"/>
      <c r="C134" s="728"/>
      <c r="D134" s="728"/>
    </row>
    <row r="135" spans="1:5">
      <c r="B135" s="728"/>
      <c r="C135" s="728"/>
      <c r="D135" s="728"/>
    </row>
    <row r="136" spans="1:5">
      <c r="B136" s="728"/>
      <c r="C136" s="728"/>
      <c r="D136" s="728"/>
    </row>
    <row r="137" spans="1:5">
      <c r="B137" s="728"/>
      <c r="C137" s="728"/>
      <c r="D137" s="728"/>
    </row>
    <row r="138" spans="1:5">
      <c r="B138" s="728"/>
      <c r="C138" s="728"/>
      <c r="D138" s="728"/>
    </row>
    <row r="139" spans="1:5">
      <c r="B139" s="728"/>
      <c r="C139" s="728"/>
      <c r="D139" s="728"/>
    </row>
    <row r="140" spans="1:5">
      <c r="B140" s="728"/>
      <c r="C140" s="728"/>
      <c r="D140" s="728"/>
    </row>
    <row r="141" spans="1:5">
      <c r="B141" s="728"/>
      <c r="C141" s="728"/>
      <c r="D141" s="728"/>
    </row>
    <row r="142" spans="1:5">
      <c r="B142" s="728"/>
      <c r="C142" s="728"/>
      <c r="D142" s="728"/>
    </row>
    <row r="143" spans="1:5">
      <c r="B143" s="728"/>
      <c r="C143" s="728"/>
      <c r="D143" s="728"/>
    </row>
    <row r="144" spans="1:5">
      <c r="B144" s="728"/>
      <c r="C144" s="728"/>
      <c r="D144" s="728"/>
    </row>
    <row r="145" spans="2:4">
      <c r="B145" s="728"/>
      <c r="C145" s="728"/>
      <c r="D145" s="728"/>
    </row>
    <row r="146" spans="2:4">
      <c r="B146" s="728"/>
      <c r="C146" s="728"/>
      <c r="D146" s="728"/>
    </row>
    <row r="147" spans="2:4">
      <c r="B147" s="728"/>
      <c r="C147" s="728"/>
      <c r="D147" s="728"/>
    </row>
    <row r="148" spans="2:4">
      <c r="B148" s="728"/>
      <c r="C148" s="728"/>
      <c r="D148" s="728"/>
    </row>
    <row r="149" spans="2:4">
      <c r="B149" s="728"/>
      <c r="C149" s="728"/>
      <c r="D149" s="728"/>
    </row>
    <row r="150" spans="2:4">
      <c r="B150" s="728"/>
      <c r="C150" s="728"/>
      <c r="D150" s="728"/>
    </row>
    <row r="151" spans="2:4">
      <c r="B151" s="728"/>
      <c r="C151" s="728"/>
      <c r="D151" s="728"/>
    </row>
    <row r="152" spans="2:4">
      <c r="B152" s="728"/>
      <c r="C152" s="728"/>
      <c r="D152" s="728"/>
    </row>
    <row r="153" spans="2:4">
      <c r="B153" s="728"/>
      <c r="C153" s="728"/>
      <c r="D153" s="728"/>
    </row>
    <row r="154" spans="2:4">
      <c r="B154" s="728"/>
      <c r="C154" s="728"/>
      <c r="D154" s="728"/>
    </row>
    <row r="155" spans="2:4">
      <c r="B155" s="728"/>
      <c r="C155" s="728"/>
      <c r="D155" s="728"/>
    </row>
    <row r="156" spans="2:4">
      <c r="B156" s="728"/>
      <c r="C156" s="728"/>
      <c r="D156" s="728"/>
    </row>
    <row r="157" spans="2:4">
      <c r="B157" s="728"/>
      <c r="C157" s="728"/>
      <c r="D157" s="728"/>
    </row>
    <row r="158" spans="2:4">
      <c r="B158" s="728"/>
      <c r="C158" s="728"/>
      <c r="D158" s="728"/>
    </row>
    <row r="159" spans="2:4">
      <c r="B159" s="728"/>
      <c r="C159" s="728"/>
      <c r="D159" s="728"/>
    </row>
    <row r="160" spans="2:4">
      <c r="B160" s="728"/>
      <c r="C160" s="728"/>
      <c r="D160" s="728"/>
    </row>
    <row r="161" spans="2:4">
      <c r="B161" s="728"/>
      <c r="C161" s="728"/>
      <c r="D161" s="728"/>
    </row>
    <row r="162" spans="2:4">
      <c r="B162" s="728"/>
      <c r="C162" s="728"/>
      <c r="D162" s="728"/>
    </row>
    <row r="163" spans="2:4">
      <c r="B163" s="728"/>
      <c r="C163" s="728"/>
      <c r="D163" s="728"/>
    </row>
    <row r="164" spans="2:4">
      <c r="B164" s="728"/>
      <c r="C164" s="728"/>
      <c r="D164" s="728"/>
    </row>
  </sheetData>
  <mergeCells count="2">
    <mergeCell ref="A133:E133"/>
    <mergeCell ref="A1:E1"/>
  </mergeCells>
  <phoneticPr fontId="0" type="noConversion"/>
  <pageMargins left="0.75" right="0.75" top="1" bottom="1" header="0.5" footer="0.5"/>
  <pageSetup paperSize="9" scale="84" orientation="portrait" r:id="rId1"/>
  <headerFooter alignWithMargins="0"/>
  <rowBreaks count="1" manualBreakCount="1">
    <brk id="70" max="4" man="1"/>
  </rowBreaks>
  <customProperties>
    <customPr name="SheetOptions" r:id="rId2"/>
  </customProperties>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0"/>
  <dimension ref="A1:Q4"/>
  <sheetViews>
    <sheetView zoomScaleNormal="100" workbookViewId="0">
      <selection sqref="A1:E1"/>
    </sheetView>
  </sheetViews>
  <sheetFormatPr defaultColWidth="8.7109375" defaultRowHeight="10.199999999999999"/>
  <cols>
    <col min="1" max="5" width="26" style="205" customWidth="1"/>
    <col min="6" max="17" width="3.7109375" style="205" customWidth="1"/>
    <col min="18" max="16384" width="8.7109375" style="1079"/>
  </cols>
  <sheetData>
    <row r="1" spans="1:5" ht="15.75" customHeight="1">
      <c r="A1" s="1304" t="s">
        <v>1396</v>
      </c>
      <c r="B1" s="1304"/>
      <c r="C1" s="1304"/>
      <c r="D1" s="1304"/>
      <c r="E1" s="1304"/>
    </row>
    <row r="2" spans="1:5" ht="11.25" customHeight="1">
      <c r="A2" s="924"/>
      <c r="B2" s="924"/>
      <c r="C2" s="924"/>
      <c r="D2" s="924"/>
      <c r="E2" s="924"/>
    </row>
    <row r="3" spans="1:5" ht="69.75" customHeight="1">
      <c r="A3" s="1187" t="s">
        <v>1636</v>
      </c>
      <c r="B3" s="1188"/>
      <c r="C3" s="1188"/>
      <c r="D3" s="1188"/>
      <c r="E3" s="1188"/>
    </row>
    <row r="4" spans="1:5">
      <c r="A4" s="243"/>
      <c r="B4" s="243"/>
      <c r="C4" s="243"/>
      <c r="D4" s="243"/>
      <c r="E4" s="243"/>
    </row>
  </sheetData>
  <mergeCells count="2">
    <mergeCell ref="A1:E1"/>
    <mergeCell ref="A3:E3"/>
  </mergeCells>
  <pageMargins left="0.7" right="0.7" top="0.75" bottom="0.75" header="0.3" footer="0.3"/>
  <pageSetup paperSize="9" scale="84" orientation="portrait" r:id="rId1"/>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1"/>
  <dimension ref="A1:AL367"/>
  <sheetViews>
    <sheetView workbookViewId="0">
      <pane ySplit="1" topLeftCell="A2" activePane="bottomLeft" state="frozen"/>
      <selection pane="bottomLeft" activeCell="A5" sqref="A5"/>
    </sheetView>
  </sheetViews>
  <sheetFormatPr defaultColWidth="8.7109375" defaultRowHeight="10.199999999999999"/>
  <cols>
    <col min="1" max="1" width="48.42578125" bestFit="1" customWidth="1"/>
    <col min="2" max="3" width="12.28515625" customWidth="1"/>
    <col min="4" max="4" width="10.140625" bestFit="1" customWidth="1"/>
    <col min="5" max="5" width="12.7109375" customWidth="1"/>
    <col min="6" max="7" width="10.7109375" bestFit="1" customWidth="1"/>
    <col min="8" max="8" width="9.7109375" bestFit="1" customWidth="1"/>
    <col min="9" max="9" width="12.7109375" customWidth="1"/>
    <col min="10" max="10" width="9.140625" customWidth="1"/>
    <col min="11" max="12" width="12.7109375" customWidth="1"/>
    <col min="13" max="15" width="10.7109375" customWidth="1"/>
  </cols>
  <sheetData>
    <row r="1" spans="1:15">
      <c r="A1" t="s">
        <v>765</v>
      </c>
      <c r="D1" s="83"/>
      <c r="E1" s="82">
        <v>1</v>
      </c>
      <c r="I1" s="167">
        <v>38807</v>
      </c>
      <c r="J1" s="164" t="s">
        <v>253</v>
      </c>
      <c r="K1" s="166" t="s">
        <v>251</v>
      </c>
      <c r="L1" s="166" t="s">
        <v>252</v>
      </c>
    </row>
    <row r="2" spans="1:15" ht="15.6">
      <c r="A2" s="198" t="str">
        <f>+IF($E$1=1,M3,IF($E$1=2,N3,O3))</f>
        <v>WÄRTSILÄ-KONSERNI, TILINTARKASTAMATON</v>
      </c>
      <c r="I2" s="167">
        <v>38717</v>
      </c>
      <c r="J2" s="164" t="s">
        <v>253</v>
      </c>
      <c r="K2" s="166" t="s">
        <v>823</v>
      </c>
      <c r="L2" s="166" t="s">
        <v>252</v>
      </c>
    </row>
    <row r="3" spans="1:15">
      <c r="A3" s="10"/>
      <c r="I3" s="191" t="s">
        <v>824</v>
      </c>
      <c r="J3" s="190"/>
      <c r="K3" s="190"/>
      <c r="M3" t="s">
        <v>590</v>
      </c>
      <c r="N3" t="s">
        <v>642</v>
      </c>
      <c r="O3" t="s">
        <v>641</v>
      </c>
    </row>
    <row r="4" spans="1:15">
      <c r="A4" s="52"/>
      <c r="B4" s="130"/>
      <c r="C4" s="130"/>
      <c r="D4" s="130"/>
      <c r="E4" s="130"/>
      <c r="F4" s="130"/>
      <c r="G4" s="130"/>
      <c r="H4" s="130"/>
      <c r="I4" s="130"/>
      <c r="J4" s="130"/>
      <c r="K4" s="130"/>
      <c r="L4" s="130"/>
      <c r="M4" s="47"/>
    </row>
    <row r="5" spans="1:15">
      <c r="A5" s="52"/>
      <c r="B5" s="130"/>
      <c r="C5" s="130"/>
      <c r="D5" s="130"/>
      <c r="E5" s="130"/>
      <c r="F5" s="130"/>
      <c r="G5" s="130"/>
      <c r="H5" s="130"/>
      <c r="I5" s="130"/>
      <c r="J5" s="130"/>
      <c r="K5" s="130"/>
      <c r="L5" s="130"/>
    </row>
    <row r="7" spans="1:15">
      <c r="A7" s="4"/>
    </row>
    <row r="8" spans="1:15">
      <c r="A8" s="10" t="str">
        <f t="shared" ref="A8:A20" si="0">+IF($E$1=1,M8,IF($E$1=2,N8,O8))</f>
        <v>LYHENNETTY TULOSLASKELMA</v>
      </c>
      <c r="F8" s="5"/>
      <c r="G8" s="15"/>
      <c r="H8" s="4"/>
      <c r="I8" s="4"/>
      <c r="J8" s="173" t="s">
        <v>819</v>
      </c>
      <c r="K8" s="174">
        <v>8160000</v>
      </c>
      <c r="L8" s="174"/>
      <c r="M8" s="10" t="s">
        <v>767</v>
      </c>
      <c r="N8" s="1" t="s">
        <v>768</v>
      </c>
      <c r="O8" s="10" t="s">
        <v>769</v>
      </c>
    </row>
    <row r="9" spans="1:15">
      <c r="A9" s="91" t="str">
        <f t="shared" si="0"/>
        <v>MEUR</v>
      </c>
      <c r="B9" s="131" t="s">
        <v>357</v>
      </c>
      <c r="C9" s="131" t="s">
        <v>357</v>
      </c>
      <c r="D9" s="131" t="s">
        <v>601</v>
      </c>
      <c r="E9" s="108">
        <v>2005</v>
      </c>
      <c r="F9" s="14"/>
      <c r="G9" s="15"/>
      <c r="H9" s="62"/>
      <c r="I9" s="4"/>
      <c r="J9" s="168"/>
      <c r="K9" s="173" t="s">
        <v>820</v>
      </c>
      <c r="L9" s="168"/>
      <c r="M9" s="6" t="s">
        <v>740</v>
      </c>
      <c r="N9" s="2" t="s">
        <v>740</v>
      </c>
      <c r="O9" s="6" t="s">
        <v>740</v>
      </c>
    </row>
    <row r="10" spans="1:15">
      <c r="A10" s="6" t="str">
        <f t="shared" si="0"/>
        <v>Liikevaihto</v>
      </c>
      <c r="B10" s="5" t="e">
        <f ca="1">_xll.HPVAL($J$1,$K$1,$K$10,$I$1,"m.ctd","wa")/1000</f>
        <v>#NAME?</v>
      </c>
      <c r="C10" s="5">
        <v>591.90800000000002</v>
      </c>
      <c r="D10" s="37">
        <v>1257.463</v>
      </c>
      <c r="E10" s="36">
        <v>2638.8139999999999</v>
      </c>
      <c r="F10" s="5"/>
      <c r="G10" s="61"/>
      <c r="H10" s="64"/>
      <c r="I10" s="4"/>
      <c r="J10" s="4"/>
      <c r="K10" s="4" t="s">
        <v>254</v>
      </c>
      <c r="L10" s="4"/>
      <c r="M10" s="6" t="s">
        <v>613</v>
      </c>
      <c r="N10" s="2" t="s">
        <v>521</v>
      </c>
      <c r="O10" s="6" t="s">
        <v>145</v>
      </c>
    </row>
    <row r="11" spans="1:15">
      <c r="A11" s="6" t="str">
        <f t="shared" si="0"/>
        <v>Muut tuotot</v>
      </c>
      <c r="B11" s="5" t="e">
        <f ca="1">_xll.HPVAL($J$1,$K$1,$K11,$I$1,"m.ctd","wa")/1000</f>
        <v>#NAME?</v>
      </c>
      <c r="C11" s="5">
        <v>2.4460000000000002</v>
      </c>
      <c r="D11" s="37">
        <v>11.686</v>
      </c>
      <c r="E11" s="36">
        <v>26.766999999999999</v>
      </c>
      <c r="F11" s="5"/>
      <c r="G11" s="11"/>
      <c r="H11" s="64"/>
      <c r="I11" s="4"/>
      <c r="J11" s="179">
        <v>4100000</v>
      </c>
      <c r="K11" s="4" t="s">
        <v>255</v>
      </c>
      <c r="L11" s="175" t="s">
        <v>257</v>
      </c>
      <c r="M11" s="6" t="s">
        <v>664</v>
      </c>
      <c r="N11" s="2" t="s">
        <v>663</v>
      </c>
      <c r="O11" s="6" t="s">
        <v>662</v>
      </c>
    </row>
    <row r="12" spans="1:15">
      <c r="A12" s="6" t="str">
        <f t="shared" si="0"/>
        <v>Kulut</v>
      </c>
      <c r="B12" s="5" t="e">
        <f ca="1">_xll.HPVAL($J$1,$K$1,$J11,$I$1,"m.ctd","wa")/1000+_xll.HPVAL($J$1,$K$1,$J12,$I$1,"m.ctd","wa")/1000+_xll.HPVAL($J$1,$K$1,$K12,$I$1,"m.ctd","wa")/1000+_xll.HPVAL($J$1,$K$1,$L11,$I$1,"m.ctd","wa")/1000+_xll.HPVAL($J$1,$K$1,$L12,$I$1,"m.ctd","wa")/1000</f>
        <v>#NAME?</v>
      </c>
      <c r="C12" s="5">
        <f>89.385+0.035-398.964-146.329-84.945</f>
        <v>-540.81799999999998</v>
      </c>
      <c r="D12" s="37">
        <v>-1139.1859999999999</v>
      </c>
      <c r="E12" s="36">
        <f>28.177+0.084-1522.5-540.016-335.452</f>
        <v>-2369.7070000000003</v>
      </c>
      <c r="F12" s="5"/>
      <c r="G12" s="11"/>
      <c r="H12" s="64"/>
      <c r="I12" s="4"/>
      <c r="J12" s="180">
        <v>4010000</v>
      </c>
      <c r="K12" s="176" t="s">
        <v>256</v>
      </c>
      <c r="L12" s="178" t="s">
        <v>258</v>
      </c>
      <c r="M12" s="6" t="s">
        <v>614</v>
      </c>
      <c r="N12" s="2" t="s">
        <v>672</v>
      </c>
      <c r="O12" s="6" t="s">
        <v>146</v>
      </c>
    </row>
    <row r="13" spans="1:15">
      <c r="A13" s="6" t="str">
        <f t="shared" si="0"/>
        <v>Poistot ja arvonalentumiset</v>
      </c>
      <c r="B13" s="5" t="e">
        <f ca="1">_xll.HPVAL($J$1,$K$1,$K13,$I$1,"m.ctd","wa")/1000</f>
        <v>#NAME?</v>
      </c>
      <c r="C13" s="5">
        <v>-17.616</v>
      </c>
      <c r="D13" s="37">
        <v>-35.191000000000003</v>
      </c>
      <c r="E13" s="36">
        <v>-71.552000000000007</v>
      </c>
      <c r="F13" s="5"/>
      <c r="G13" s="11"/>
      <c r="H13" s="64"/>
      <c r="I13" s="4"/>
      <c r="J13" s="4"/>
      <c r="K13" s="4" t="s">
        <v>259</v>
      </c>
      <c r="L13" s="4"/>
      <c r="M13" s="6" t="s">
        <v>623</v>
      </c>
      <c r="N13" s="2" t="s">
        <v>524</v>
      </c>
      <c r="O13" s="6" t="s">
        <v>624</v>
      </c>
    </row>
    <row r="14" spans="1:15">
      <c r="A14" s="6" t="str">
        <f t="shared" si="0"/>
        <v>Liiketulos</v>
      </c>
      <c r="B14" s="5" t="e">
        <f ca="1">SUM(B10:B13)</f>
        <v>#NAME?</v>
      </c>
      <c r="C14" s="5">
        <f>SUM(C10:C13)</f>
        <v>35.920000000000059</v>
      </c>
      <c r="D14" s="37">
        <f>SUM(D10:D13)</f>
        <v>94.771999999999963</v>
      </c>
      <c r="E14" s="36">
        <f>SUM(E10:E13)</f>
        <v>224.32199999999932</v>
      </c>
      <c r="F14" s="5"/>
      <c r="G14" s="5"/>
      <c r="H14" s="64"/>
      <c r="I14" s="4"/>
      <c r="J14" s="4"/>
      <c r="K14" s="4"/>
      <c r="L14" s="4"/>
      <c r="M14" s="6" t="s">
        <v>845</v>
      </c>
      <c r="N14" s="2" t="s">
        <v>184</v>
      </c>
      <c r="O14" s="6" t="s">
        <v>542</v>
      </c>
    </row>
    <row r="15" spans="1:15">
      <c r="A15" s="6" t="str">
        <f t="shared" si="0"/>
        <v>Rahoitustuotot ja -kulut</v>
      </c>
      <c r="B15" s="5" t="e">
        <f ca="1">_xll.HPVAL($J$1,$K$1,$K15,$I$1,"m.ctd","wa")/1000</f>
        <v>#NAME?</v>
      </c>
      <c r="C15" s="5">
        <v>-2.58</v>
      </c>
      <c r="D15" s="37">
        <v>-9.4480000000000004</v>
      </c>
      <c r="E15" s="36">
        <f>7.19-11.864-18.743</f>
        <v>-23.416999999999998</v>
      </c>
      <c r="F15" s="5"/>
      <c r="G15" s="11"/>
      <c r="H15" s="64"/>
      <c r="I15" s="4"/>
      <c r="J15" s="4"/>
      <c r="K15" s="4" t="s">
        <v>260</v>
      </c>
      <c r="L15" s="4"/>
      <c r="M15" s="6" t="s">
        <v>615</v>
      </c>
      <c r="N15" s="2" t="s">
        <v>180</v>
      </c>
      <c r="O15" s="6" t="s">
        <v>147</v>
      </c>
    </row>
    <row r="16" spans="1:15">
      <c r="A16" s="6" t="str">
        <f t="shared" si="0"/>
        <v>Nettovoitot myytävissä olevista sijoituksista</v>
      </c>
      <c r="B16" s="5" t="e">
        <f ca="1">_xll.HPVAL($J$1,$K$1,$K16,$I$1,"m.ctd","wa")/1000</f>
        <v>#NAME?</v>
      </c>
      <c r="C16" s="5"/>
      <c r="D16" s="37"/>
      <c r="E16" s="36">
        <v>0.54300000000000004</v>
      </c>
      <c r="F16" s="5"/>
      <c r="G16" s="11"/>
      <c r="H16" s="64"/>
      <c r="I16" s="4"/>
      <c r="J16" s="4"/>
      <c r="K16" s="17">
        <v>8410100</v>
      </c>
      <c r="L16" s="4"/>
      <c r="M16" s="6" t="s">
        <v>69</v>
      </c>
      <c r="N16" s="2" t="s">
        <v>737</v>
      </c>
      <c r="O16" s="6" t="s">
        <v>377</v>
      </c>
    </row>
    <row r="17" spans="1:15">
      <c r="A17" s="6" t="str">
        <f t="shared" si="0"/>
        <v>Osuus osakkuusyhtiöiden tuloksesta</v>
      </c>
      <c r="B17" s="5" t="e">
        <f ca="1">_xll.HPVAL($J$1,$K$1,$K17,$I$1,"m.ctd","wa")/1000</f>
        <v>#NAME?</v>
      </c>
      <c r="C17" s="5">
        <v>6.657</v>
      </c>
      <c r="D17" s="37">
        <v>7.1479999999999997</v>
      </c>
      <c r="E17" s="36">
        <v>10.91</v>
      </c>
      <c r="F17" s="5"/>
      <c r="G17" s="11"/>
      <c r="H17" s="64"/>
      <c r="I17" s="4"/>
      <c r="J17" s="4"/>
      <c r="K17" s="17">
        <v>8000000</v>
      </c>
      <c r="L17" s="4"/>
      <c r="M17" s="6" t="s">
        <v>766</v>
      </c>
      <c r="N17" s="2" t="s">
        <v>523</v>
      </c>
      <c r="O17" s="6" t="s">
        <v>150</v>
      </c>
    </row>
    <row r="18" spans="1:15">
      <c r="A18" s="6" t="str">
        <f t="shared" si="0"/>
        <v>Tulos ennen veroja</v>
      </c>
      <c r="B18" s="5" t="e">
        <f ca="1">SUM(B14:B17)</f>
        <v>#NAME?</v>
      </c>
      <c r="C18" s="5">
        <f>SUM(C14:C17)</f>
        <v>39.997000000000057</v>
      </c>
      <c r="D18" s="37">
        <f>SUM(D14:D17)</f>
        <v>92.471999999999952</v>
      </c>
      <c r="E18" s="36">
        <f>SUM(E14:E17)</f>
        <v>212.35799999999932</v>
      </c>
      <c r="F18" s="5"/>
      <c r="G18" s="5"/>
      <c r="H18" s="64"/>
      <c r="I18" s="4"/>
      <c r="J18" s="4"/>
      <c r="K18" s="4"/>
      <c r="L18" s="4"/>
      <c r="M18" s="6" t="s">
        <v>622</v>
      </c>
      <c r="N18" s="2" t="s">
        <v>665</v>
      </c>
      <c r="O18" s="6" t="s">
        <v>122</v>
      </c>
    </row>
    <row r="19" spans="1:15">
      <c r="A19" s="85" t="str">
        <f t="shared" si="0"/>
        <v>Tilikauden verot</v>
      </c>
      <c r="B19" s="5" t="e">
        <f ca="1">_xll.HPVAL($J$1,$K$1,$K19,$I$1,"m.ctd","wa")/1000</f>
        <v>#NAME?</v>
      </c>
      <c r="C19" s="55">
        <v>12.157</v>
      </c>
      <c r="D19" s="56">
        <v>-24.137</v>
      </c>
      <c r="E19" s="42">
        <v>-43.957000000000001</v>
      </c>
      <c r="F19" s="5"/>
      <c r="G19" s="11"/>
      <c r="H19" s="64"/>
      <c r="I19" s="4"/>
      <c r="J19" s="4"/>
      <c r="K19" s="4" t="s">
        <v>261</v>
      </c>
      <c r="L19" s="4"/>
      <c r="M19" s="6" t="s">
        <v>667</v>
      </c>
      <c r="N19" s="2" t="s">
        <v>666</v>
      </c>
      <c r="O19" s="6" t="s">
        <v>668</v>
      </c>
    </row>
    <row r="20" spans="1:15">
      <c r="A20" s="87" t="str">
        <f t="shared" si="0"/>
        <v>Tilikauden tulos</v>
      </c>
      <c r="B20" s="60" t="e">
        <f ca="1">SUM(B18:B19)</f>
        <v>#NAME?</v>
      </c>
      <c r="C20" s="60">
        <f>SUM(C18:C19)</f>
        <v>52.154000000000053</v>
      </c>
      <c r="D20" s="195">
        <f>SUM(D18:D19)</f>
        <v>68.334999999999951</v>
      </c>
      <c r="E20" s="43">
        <f>SUM(E18:E19)</f>
        <v>168.40099999999933</v>
      </c>
      <c r="F20" s="5"/>
      <c r="G20" s="11"/>
      <c r="H20" s="64"/>
      <c r="I20" s="4"/>
      <c r="J20" s="169" t="s">
        <v>812</v>
      </c>
      <c r="K20" s="172" t="e">
        <f ca="1">_xll.HPVAL($J$1,$K$1,$L20,$I$1,"m.ctd","wa")/1000-B20</f>
        <v>#NAME?</v>
      </c>
      <c r="L20" s="4" t="s">
        <v>818</v>
      </c>
      <c r="M20" s="6" t="s">
        <v>617</v>
      </c>
      <c r="N20" s="2" t="s">
        <v>506</v>
      </c>
      <c r="O20" s="6" t="s">
        <v>541</v>
      </c>
    </row>
    <row r="21" spans="1:15">
      <c r="A21" s="6"/>
      <c r="B21" s="5"/>
      <c r="C21" s="5"/>
      <c r="D21" s="5"/>
      <c r="E21" s="36"/>
      <c r="F21" s="5"/>
      <c r="G21" s="11"/>
      <c r="H21" s="64"/>
      <c r="I21" s="4"/>
      <c r="J21" s="4"/>
      <c r="K21" s="4"/>
      <c r="L21" s="4"/>
      <c r="M21" s="6"/>
      <c r="N21" s="2"/>
      <c r="O21" s="6"/>
    </row>
    <row r="22" spans="1:15">
      <c r="A22" s="6" t="str">
        <f>+IF($E$1=1,M22,IF($E$1=2,N22,O22))</f>
        <v>Jakautuminen:</v>
      </c>
      <c r="B22" s="5"/>
      <c r="C22" s="5"/>
      <c r="D22" s="5"/>
      <c r="E22" s="36"/>
      <c r="F22" s="5"/>
      <c r="G22" s="11"/>
      <c r="H22" s="64"/>
      <c r="I22" s="4"/>
      <c r="J22" s="4"/>
      <c r="K22" s="4"/>
      <c r="L22" s="4"/>
      <c r="M22" s="6" t="s">
        <v>13</v>
      </c>
      <c r="N22" s="2" t="s">
        <v>14</v>
      </c>
      <c r="O22" s="6" t="s">
        <v>15</v>
      </c>
    </row>
    <row r="23" spans="1:15">
      <c r="A23" s="6" t="str">
        <f>+IF($E$1=1,M23,IF($E$1=2,N23,O23))</f>
        <v>Emoyhtiön osakkeenomistajat</v>
      </c>
      <c r="B23" s="5" t="e">
        <f ca="1">B20-B24</f>
        <v>#NAME?</v>
      </c>
      <c r="C23" s="5">
        <v>52.17</v>
      </c>
      <c r="D23" s="5">
        <v>67.509</v>
      </c>
      <c r="E23" s="36">
        <f>+E20-E24</f>
        <v>166.98399999999933</v>
      </c>
      <c r="F23" s="5"/>
      <c r="G23" s="11"/>
      <c r="H23" s="64"/>
      <c r="I23" s="4"/>
      <c r="J23" s="4"/>
      <c r="K23" s="4"/>
      <c r="L23" s="4"/>
      <c r="M23" s="6" t="s">
        <v>133</v>
      </c>
      <c r="N23" s="2" t="s">
        <v>878</v>
      </c>
      <c r="O23" s="6" t="s">
        <v>16</v>
      </c>
    </row>
    <row r="24" spans="1:15">
      <c r="A24" s="85" t="str">
        <f>+IF($E$1=1,M24,IF($E$1=2,N24,O24))</f>
        <v>Vähemmistö</v>
      </c>
      <c r="B24" s="5" t="e">
        <f ca="1">-_xll.HPVAL($J$1,$K$1,$K24,$I$1,"m.ctd","wa")/1000</f>
        <v>#NAME?</v>
      </c>
      <c r="C24" s="55">
        <v>-1.7000000000000001E-2</v>
      </c>
      <c r="D24" s="55">
        <v>0.82499999999999996</v>
      </c>
      <c r="E24" s="42">
        <v>1.417</v>
      </c>
      <c r="F24" s="5"/>
      <c r="G24" s="11"/>
      <c r="H24" s="64"/>
      <c r="I24" s="4"/>
      <c r="J24" s="4"/>
      <c r="K24" s="17">
        <v>8880000</v>
      </c>
      <c r="L24" s="4"/>
      <c r="M24" s="6" t="s">
        <v>134</v>
      </c>
      <c r="N24" s="2" t="s">
        <v>597</v>
      </c>
      <c r="O24" s="6" t="s">
        <v>17</v>
      </c>
    </row>
    <row r="25" spans="1:15">
      <c r="A25" s="120"/>
      <c r="B25" s="139" t="e">
        <f ca="1">SUM(B23:B24)</f>
        <v>#NAME?</v>
      </c>
      <c r="C25" s="139">
        <f>SUM(C23:C24)</f>
        <v>52.152999999999999</v>
      </c>
      <c r="D25" s="139">
        <f>SUM(D23:D24)</f>
        <v>68.334000000000003</v>
      </c>
      <c r="E25" s="134">
        <f>SUM(E23:E24)</f>
        <v>168.40099999999933</v>
      </c>
      <c r="F25" s="5"/>
      <c r="G25" s="5"/>
      <c r="H25" s="64"/>
      <c r="I25" s="4"/>
      <c r="J25" s="4"/>
      <c r="K25" s="4"/>
      <c r="L25" s="4"/>
      <c r="M25" s="6"/>
      <c r="N25" s="2"/>
      <c r="O25" s="6"/>
    </row>
    <row r="26" spans="1:15">
      <c r="A26" s="39"/>
      <c r="B26" s="39"/>
      <c r="C26" s="39"/>
      <c r="D26" s="39"/>
      <c r="E26" s="50"/>
      <c r="F26" s="5"/>
      <c r="G26" s="5"/>
      <c r="H26" s="63"/>
      <c r="I26" s="4"/>
      <c r="J26" s="4"/>
      <c r="K26" s="4"/>
      <c r="L26" s="4"/>
      <c r="M26" s="6"/>
      <c r="N26" s="2"/>
      <c r="O26" s="6"/>
    </row>
    <row r="27" spans="1:15">
      <c r="A27" s="85" t="str">
        <f>+IF($E$1=1,M27,IF($E$1=2,N27,O27))</f>
        <v>Emoyhtiön osakkeenomistajille kuuluva osakekohtainen tulos:</v>
      </c>
      <c r="B27" s="88"/>
      <c r="C27" s="88"/>
      <c r="D27" s="85"/>
      <c r="E27" s="88"/>
      <c r="F27" s="5"/>
      <c r="G27" s="5"/>
      <c r="H27" s="63"/>
      <c r="I27" s="4"/>
      <c r="J27" s="4"/>
      <c r="K27" s="4"/>
      <c r="L27" s="4"/>
      <c r="M27" s="6" t="s">
        <v>858</v>
      </c>
      <c r="N27" s="2" t="s">
        <v>857</v>
      </c>
      <c r="O27" s="6" t="s">
        <v>749</v>
      </c>
    </row>
    <row r="28" spans="1:15">
      <c r="A28" s="6" t="str">
        <f>+IF($E$1=1,M28,IF($E$1=2,N28,O28))</f>
        <v>Tulos/osake, EUR</v>
      </c>
      <c r="B28" s="6"/>
      <c r="C28" s="6">
        <f>+C23/94.107468</f>
        <v>0.55436620609110432</v>
      </c>
      <c r="D28" s="6">
        <v>0.72909999999999997</v>
      </c>
      <c r="E28" s="65">
        <v>1.8</v>
      </c>
      <c r="F28" s="6"/>
      <c r="G28" s="6"/>
      <c r="H28" s="63"/>
      <c r="I28" s="4"/>
      <c r="J28" s="4"/>
      <c r="K28" s="4"/>
      <c r="L28" s="4"/>
      <c r="M28" s="6" t="s">
        <v>320</v>
      </c>
      <c r="N28" s="2" t="s">
        <v>268</v>
      </c>
      <c r="O28" s="6" t="s">
        <v>179</v>
      </c>
    </row>
    <row r="29" spans="1:15">
      <c r="A29" s="85" t="str">
        <f>+IF($E$1=1,M29,IF($E$1=2,N29,O29))</f>
        <v>Laimennettu tulos/osake, EUR</v>
      </c>
      <c r="B29" s="89"/>
      <c r="C29" s="89">
        <v>0.55000000000000004</v>
      </c>
      <c r="D29" s="85">
        <v>0.72</v>
      </c>
      <c r="E29" s="90">
        <v>1.78</v>
      </c>
      <c r="F29" s="6"/>
      <c r="G29" s="5"/>
      <c r="H29" s="63"/>
      <c r="I29" s="4"/>
      <c r="J29" s="4"/>
      <c r="K29" s="4"/>
      <c r="L29" s="4"/>
      <c r="M29" s="4" t="s">
        <v>321</v>
      </c>
      <c r="N29" s="4" t="s">
        <v>529</v>
      </c>
      <c r="O29" s="4" t="s">
        <v>603</v>
      </c>
    </row>
    <row r="32" spans="1:15">
      <c r="A32" s="4"/>
      <c r="B32" s="4"/>
      <c r="C32" s="4"/>
      <c r="F32" s="5"/>
      <c r="G32" s="15"/>
      <c r="H32" s="4"/>
      <c r="I32" s="4"/>
      <c r="J32" s="4"/>
      <c r="K32" s="4"/>
      <c r="L32" s="4"/>
      <c r="M32" s="4"/>
      <c r="N32" s="4"/>
      <c r="O32" s="4"/>
    </row>
    <row r="33" spans="1:15">
      <c r="A33" s="10" t="str">
        <f t="shared" ref="A33:A41" si="1">+IF($E$1=1,M33,IF($E$1=2,N33,O33))</f>
        <v>LYHENNETTY TASE</v>
      </c>
      <c r="B33" s="10"/>
      <c r="C33" s="10"/>
      <c r="F33" s="14"/>
      <c r="G33" s="15"/>
      <c r="H33" s="14"/>
      <c r="I33" s="4"/>
      <c r="J33" s="4"/>
      <c r="K33" s="4"/>
      <c r="L33" s="4"/>
      <c r="M33" s="10" t="s">
        <v>770</v>
      </c>
      <c r="N33" s="1" t="s">
        <v>771</v>
      </c>
      <c r="O33" s="10" t="s">
        <v>772</v>
      </c>
    </row>
    <row r="34" spans="1:15">
      <c r="A34" s="91" t="str">
        <f t="shared" si="1"/>
        <v>MEUR</v>
      </c>
      <c r="B34" s="132" t="s">
        <v>125</v>
      </c>
      <c r="C34" s="132" t="s">
        <v>125</v>
      </c>
      <c r="D34" s="132" t="s">
        <v>234</v>
      </c>
      <c r="E34" s="128" t="s">
        <v>235</v>
      </c>
      <c r="F34" s="13"/>
      <c r="G34" s="15"/>
      <c r="H34" s="66"/>
      <c r="I34" s="4"/>
      <c r="J34" s="4"/>
      <c r="K34" s="4"/>
      <c r="L34" s="4"/>
      <c r="M34" s="6" t="s">
        <v>740</v>
      </c>
      <c r="N34" s="2" t="s">
        <v>740</v>
      </c>
      <c r="O34" s="6" t="s">
        <v>740</v>
      </c>
    </row>
    <row r="35" spans="1:15">
      <c r="A35" s="10" t="str">
        <f t="shared" si="1"/>
        <v>Pitkäaikaiset varat</v>
      </c>
      <c r="B35" s="10"/>
      <c r="C35" s="10"/>
      <c r="D35" s="10"/>
      <c r="F35" s="13"/>
      <c r="G35" s="15"/>
      <c r="H35" s="67"/>
      <c r="I35" s="4"/>
      <c r="J35" s="4"/>
      <c r="K35" s="4"/>
      <c r="L35" s="4"/>
      <c r="M35" s="10" t="s">
        <v>18</v>
      </c>
      <c r="N35" s="2" t="s">
        <v>19</v>
      </c>
      <c r="O35" s="6" t="s">
        <v>401</v>
      </c>
    </row>
    <row r="36" spans="1:15">
      <c r="A36" s="6" t="str">
        <f t="shared" si="1"/>
        <v>Aineeton käyttöomaisuus</v>
      </c>
      <c r="B36" s="5" t="e">
        <f ca="1">_xll.HPVAL($J$1,$K$1,$K36,$I$1,"m.ctd","wa")/1000+_xll.HPVAL($J$1,$K$1,$L36,$I$1,"m.ctd","wa")/1000</f>
        <v>#NAME?</v>
      </c>
      <c r="C36" s="5">
        <f>376.554+178.256</f>
        <v>554.80999999999995</v>
      </c>
      <c r="D36" s="5">
        <v>544.88699999999994</v>
      </c>
      <c r="E36" s="36">
        <f>175.424+365.71</f>
        <v>541.13400000000001</v>
      </c>
      <c r="F36" s="19"/>
      <c r="G36" s="20"/>
      <c r="H36" s="68"/>
      <c r="I36" s="4"/>
      <c r="J36" s="4"/>
      <c r="K36" s="4" t="s">
        <v>575</v>
      </c>
      <c r="L36" s="4" t="s">
        <v>576</v>
      </c>
      <c r="M36" s="6" t="s">
        <v>643</v>
      </c>
      <c r="N36" s="2" t="s">
        <v>545</v>
      </c>
      <c r="O36" s="6" t="s">
        <v>548</v>
      </c>
    </row>
    <row r="37" spans="1:15">
      <c r="A37" s="6" t="str">
        <f t="shared" si="1"/>
        <v>Aineellinen käyttöomaisuus</v>
      </c>
      <c r="B37" s="5" t="e">
        <f ca="1">_xll.HPVAL($J$1,$K$1,$K37,$I$1,"m.ctd","wa")/1000</f>
        <v>#NAME?</v>
      </c>
      <c r="C37" s="5">
        <v>287.28899999999999</v>
      </c>
      <c r="D37" s="5">
        <v>281.41500000000002</v>
      </c>
      <c r="E37" s="36">
        <f>255.697+17.2</f>
        <v>272.89699999999999</v>
      </c>
      <c r="F37" s="5"/>
      <c r="G37" s="8"/>
      <c r="H37" s="68"/>
      <c r="I37" s="4"/>
      <c r="J37" s="4"/>
      <c r="K37" s="4" t="s">
        <v>418</v>
      </c>
      <c r="L37" s="4"/>
      <c r="M37" s="6" t="s">
        <v>171</v>
      </c>
      <c r="N37" s="2" t="s">
        <v>172</v>
      </c>
      <c r="O37" s="6" t="s">
        <v>549</v>
      </c>
    </row>
    <row r="38" spans="1:15">
      <c r="A38" s="6" t="str">
        <f t="shared" si="1"/>
        <v>Osuudet osakkuusyrityksissä</v>
      </c>
      <c r="B38" s="5" t="e">
        <f ca="1">_xll.HPVAL($J$1,$K$1,$K38,$I$1,"m.ctd","wa")/1000</f>
        <v>#NAME?</v>
      </c>
      <c r="C38" s="5">
        <v>115.714</v>
      </c>
      <c r="D38" s="5">
        <v>104.29300000000001</v>
      </c>
      <c r="E38" s="36">
        <v>108.452</v>
      </c>
      <c r="F38" s="16"/>
      <c r="G38" s="8"/>
      <c r="H38" s="68"/>
      <c r="I38" s="4"/>
      <c r="J38" s="4"/>
      <c r="K38" s="17">
        <v>1200200</v>
      </c>
      <c r="L38" s="4"/>
      <c r="M38" s="6" t="s">
        <v>554</v>
      </c>
      <c r="N38" s="2" t="s">
        <v>173</v>
      </c>
      <c r="O38" s="6" t="s">
        <v>174</v>
      </c>
    </row>
    <row r="39" spans="1:15">
      <c r="A39" s="6" t="str">
        <f t="shared" si="1"/>
        <v>Myytävissä olevat sijoitukset</v>
      </c>
      <c r="B39" s="5" t="e">
        <f ca="1">_xll.HPVAL($J$1,$K$1,$K39,$I$1,"m.ctd","wa")/1000+_xll.HPVAL($J$1,$K$1,$L39,$I$1,"m.ctd","wa")/1000</f>
        <v>#NAME?</v>
      </c>
      <c r="C39" s="5">
        <f>20.89+302.473</f>
        <v>323.363</v>
      </c>
      <c r="D39" s="5">
        <f>339.517-D38</f>
        <v>235.22399999999999</v>
      </c>
      <c r="E39" s="36">
        <f>284.354+0.01</f>
        <v>284.36399999999998</v>
      </c>
      <c r="F39" s="5"/>
      <c r="G39" s="8"/>
      <c r="H39" s="68"/>
      <c r="I39" s="4"/>
      <c r="J39" s="4"/>
      <c r="K39" s="17">
        <v>1200300</v>
      </c>
      <c r="L39" s="17">
        <v>1200400</v>
      </c>
      <c r="M39" s="6" t="s">
        <v>559</v>
      </c>
      <c r="N39" s="2" t="s">
        <v>322</v>
      </c>
      <c r="O39" s="6" t="s">
        <v>20</v>
      </c>
    </row>
    <row r="40" spans="1:15">
      <c r="A40" s="6" t="str">
        <f t="shared" si="1"/>
        <v>Laskennalliset verosaamiset</v>
      </c>
      <c r="B40" s="5" t="e">
        <f ca="1">_xll.HPVAL($J$1,$K$1,$K40,$I$1,"m.ctd","wa")/1000+_xll.HPVAL($J$1,$K$1,$L40,$I$1,"m.ctd","wa")/1000</f>
        <v>#NAME?</v>
      </c>
      <c r="C40" s="5">
        <f>78.361+10.015+8.537</f>
        <v>96.913000000000011</v>
      </c>
      <c r="D40" s="5">
        <f>51.749+12.983+14.284+1.289</f>
        <v>80.305000000000007</v>
      </c>
      <c r="E40" s="36">
        <f>77.65-0.01</f>
        <v>77.64</v>
      </c>
      <c r="F40" s="5"/>
      <c r="G40" s="8"/>
      <c r="H40" s="68"/>
      <c r="I40" s="4"/>
      <c r="J40" s="4"/>
      <c r="K40" s="4" t="s">
        <v>803</v>
      </c>
      <c r="L40" s="4" t="s">
        <v>419</v>
      </c>
      <c r="M40" s="6" t="s">
        <v>773</v>
      </c>
      <c r="N40" s="2" t="s">
        <v>774</v>
      </c>
      <c r="O40" s="6" t="s">
        <v>775</v>
      </c>
    </row>
    <row r="41" spans="1:15">
      <c r="A41" s="85" t="str">
        <f t="shared" si="1"/>
        <v>Muut varat</v>
      </c>
      <c r="B41" s="55" t="e">
        <f ca="1">_xll.HPVAL($J$1,$K$1,$J41,$I$1,"m.ctd","wa")/1000+_xll.HPVAL($J$1,$K$1,$K41,$I$1,"m.ctd","wa")/1000-_xll.HPVAL($J$1,$K$1,$L41,$I$1,"m.ctd","wa")/1000-_xll.HPVAL($J$1,$K$1,$L42,$I$1,"m.ctd","wa")/1000</f>
        <v>#NAME?</v>
      </c>
      <c r="C41" s="55">
        <f>24.495+93.511-78.361-10.015</f>
        <v>29.629999999999995</v>
      </c>
      <c r="D41" s="55">
        <f>1262.647-SUM(D36:D40)</f>
        <v>16.522999999999911</v>
      </c>
      <c r="E41" s="42">
        <f>27.199+4.156</f>
        <v>31.355</v>
      </c>
      <c r="F41" s="5"/>
      <c r="G41" s="8"/>
      <c r="H41" s="68"/>
      <c r="I41" s="4"/>
      <c r="J41" s="181" t="s">
        <v>805</v>
      </c>
      <c r="K41" s="176" t="s">
        <v>806</v>
      </c>
      <c r="L41" s="182">
        <v>1480000</v>
      </c>
      <c r="M41" s="6" t="s">
        <v>751</v>
      </c>
      <c r="N41" s="2" t="s">
        <v>547</v>
      </c>
      <c r="O41" s="6" t="s">
        <v>752</v>
      </c>
    </row>
    <row r="42" spans="1:15">
      <c r="A42" s="6"/>
      <c r="B42" s="37" t="e">
        <f ca="1">SUM(B36:B41)</f>
        <v>#NAME?</v>
      </c>
      <c r="C42" s="37">
        <f>SUM(C36:C41)</f>
        <v>1407.7190000000001</v>
      </c>
      <c r="D42" s="37">
        <f>SUM(D36:D41)</f>
        <v>1262.6469999999999</v>
      </c>
      <c r="E42" s="36">
        <f>SUM(E36:E41)</f>
        <v>1315.8420000000001</v>
      </c>
      <c r="F42" s="5"/>
      <c r="G42" s="8"/>
      <c r="H42" s="68"/>
      <c r="I42" s="4"/>
      <c r="J42" s="4"/>
      <c r="K42" s="4"/>
      <c r="L42" s="183">
        <v>1480100</v>
      </c>
      <c r="M42" s="6"/>
      <c r="N42" s="2"/>
      <c r="O42" s="6"/>
    </row>
    <row r="43" spans="1:15">
      <c r="A43" s="10" t="str">
        <f>+IF($E$1=1,M43,IF($E$1=2,N43,O43))</f>
        <v>Lyhytaikaiset varat</v>
      </c>
      <c r="B43" s="5"/>
      <c r="C43" s="5"/>
      <c r="D43" s="5"/>
      <c r="E43" s="36"/>
      <c r="F43" s="5"/>
      <c r="G43" s="8"/>
      <c r="H43" s="68"/>
      <c r="I43" s="4"/>
      <c r="J43" s="4"/>
      <c r="K43" s="4"/>
      <c r="L43" s="4"/>
      <c r="M43" s="6" t="s">
        <v>21</v>
      </c>
      <c r="N43" s="2" t="s">
        <v>22</v>
      </c>
      <c r="O43" s="6" t="s">
        <v>123</v>
      </c>
    </row>
    <row r="44" spans="1:15">
      <c r="A44" s="6" t="str">
        <f>+IF($E$1=1,M44,IF($E$1=2,N44,O44))</f>
        <v>Vaihto-omaisuus</v>
      </c>
      <c r="B44" s="5" t="e">
        <f ca="1">_xll.HPVAL($J$1,$K$1,$K44,$I$1,"m.ctd","wa")/1000</f>
        <v>#NAME?</v>
      </c>
      <c r="C44" s="5">
        <v>764.12</v>
      </c>
      <c r="D44" s="5">
        <v>597.28599999999994</v>
      </c>
      <c r="E44" s="36">
        <v>638.57299999999998</v>
      </c>
      <c r="F44" s="5"/>
      <c r="G44" s="8"/>
      <c r="H44" s="68"/>
      <c r="I44" s="4"/>
      <c r="J44" s="4"/>
      <c r="K44" s="17" t="s">
        <v>807</v>
      </c>
      <c r="L44" s="4"/>
      <c r="M44" s="6" t="s">
        <v>544</v>
      </c>
      <c r="N44" s="2" t="s">
        <v>546</v>
      </c>
      <c r="O44" s="6" t="s">
        <v>555</v>
      </c>
    </row>
    <row r="45" spans="1:15">
      <c r="A45" s="6" t="str">
        <f>+IF($E$1=1,M45,IF($E$1=2,N45,O45))</f>
        <v>Muut  varat</v>
      </c>
      <c r="B45" s="5" t="e">
        <f ca="1">_xll.HPVAL($J$1,$K$1,$J45,$I$1,"m.ctd","wa")/1000+_xll.HPVAL($J$1,$K$1,$K45,$I$1,"m.ctd","wa")/1000-_xll.HPVAL($J$1,$K$1,$L45,$I$1,"m.ctd","wa")/1000-_xll.HPVAL($J$1,$K$1,$J46,$I$1,"m.ctd","wa")/1000</f>
        <v>#NAME?</v>
      </c>
      <c r="C45" s="5">
        <f>1702.772-8.537-94.66-20.178-C44</f>
        <v>815.2769999999997</v>
      </c>
      <c r="D45" s="5">
        <v>781.55899999999997</v>
      </c>
      <c r="E45" s="36">
        <f>0.903+670.176+16.056+107.423</f>
        <v>794.55800000000011</v>
      </c>
      <c r="F45" s="5"/>
      <c r="G45" s="8"/>
      <c r="H45" s="68"/>
      <c r="I45" s="4"/>
      <c r="J45" s="184" t="s">
        <v>811</v>
      </c>
      <c r="K45" s="176" t="s">
        <v>810</v>
      </c>
      <c r="L45" s="185">
        <v>1580000</v>
      </c>
      <c r="M45" s="6" t="s">
        <v>750</v>
      </c>
      <c r="N45" s="2" t="s">
        <v>547</v>
      </c>
      <c r="O45" s="6" t="s">
        <v>752</v>
      </c>
    </row>
    <row r="46" spans="1:15">
      <c r="A46" s="85" t="str">
        <f>+IF($E$1=1,M46,IF($E$1=2,N46,O46))</f>
        <v>Rahavarat</v>
      </c>
      <c r="B46" s="55" t="e">
        <f ca="1">_xll.HPVAL($J$1,$K$1,$K46,$I$1,"m.ctd","wa")/1000+_xll.HPVAL($J$1,$K$1,$L46,$I$1,"m.ctd","wa")/1000</f>
        <v>#NAME?</v>
      </c>
      <c r="C46" s="55">
        <f>20.178+94.66</f>
        <v>114.83799999999999</v>
      </c>
      <c r="D46" s="55">
        <v>119.601</v>
      </c>
      <c r="E46" s="42">
        <v>119.649</v>
      </c>
      <c r="F46" s="40"/>
      <c r="G46" s="11"/>
      <c r="H46" s="68"/>
      <c r="I46" s="4"/>
      <c r="J46" s="177">
        <v>1580100</v>
      </c>
      <c r="K46" s="4" t="s">
        <v>808</v>
      </c>
      <c r="L46" s="28" t="s">
        <v>809</v>
      </c>
      <c r="M46" s="9" t="s">
        <v>550</v>
      </c>
      <c r="N46" s="7" t="s">
        <v>551</v>
      </c>
      <c r="O46" s="9" t="s">
        <v>552</v>
      </c>
    </row>
    <row r="47" spans="1:15">
      <c r="A47" s="39"/>
      <c r="B47" s="84" t="e">
        <f ca="1">SUM(B44:B46)</f>
        <v>#NAME?</v>
      </c>
      <c r="C47" s="84">
        <f>SUM(C44:C46)</f>
        <v>1694.2349999999997</v>
      </c>
      <c r="D47" s="84">
        <f>SUM(D44:D46)</f>
        <v>1498.4459999999999</v>
      </c>
      <c r="E47" s="36">
        <f>SUM(E44:E46)</f>
        <v>1552.7800000000002</v>
      </c>
      <c r="F47" s="40"/>
      <c r="G47" s="11"/>
      <c r="H47" s="68"/>
      <c r="I47" s="4"/>
      <c r="J47" s="4"/>
      <c r="K47" s="4"/>
      <c r="L47" s="4"/>
      <c r="M47" s="39"/>
      <c r="N47" s="41"/>
      <c r="O47" s="39"/>
    </row>
    <row r="48" spans="1:15">
      <c r="A48" s="85"/>
      <c r="B48" s="84"/>
      <c r="C48" s="84"/>
      <c r="D48" s="84"/>
      <c r="E48" s="36"/>
      <c r="F48" s="40"/>
      <c r="G48" s="11"/>
      <c r="H48" s="68"/>
      <c r="I48" s="4"/>
      <c r="J48" s="4"/>
      <c r="K48" s="4"/>
      <c r="L48" s="4"/>
      <c r="M48" s="39"/>
      <c r="N48" s="41"/>
      <c r="O48" s="39"/>
    </row>
    <row r="49" spans="1:15">
      <c r="A49" s="86" t="str">
        <f>+IF($E$1=1,M49,IF($E$1=2,N49,O49))</f>
        <v>Vastaavaa</v>
      </c>
      <c r="B49" s="43" t="e">
        <f ca="1">+B47+B42</f>
        <v>#NAME?</v>
      </c>
      <c r="C49" s="43">
        <f>+C47+C42</f>
        <v>3101.9539999999997</v>
      </c>
      <c r="D49" s="43">
        <f>+D47+D42</f>
        <v>2761.0929999999998</v>
      </c>
      <c r="E49" s="43">
        <f>+E47+E42</f>
        <v>2868.6220000000003</v>
      </c>
      <c r="F49" s="5"/>
      <c r="G49" s="8"/>
      <c r="H49" s="69"/>
      <c r="I49" s="4"/>
      <c r="J49" s="169" t="s">
        <v>812</v>
      </c>
      <c r="K49" s="172" t="e">
        <f ca="1">_xll.HPVAL($J$1,$K$1,$L49,$I$1,"m.ctd","wa")/1000-B49</f>
        <v>#NAME?</v>
      </c>
      <c r="L49" s="4" t="s">
        <v>804</v>
      </c>
      <c r="M49" s="6" t="s">
        <v>127</v>
      </c>
      <c r="N49" s="2" t="s">
        <v>557</v>
      </c>
      <c r="O49" s="6" t="s">
        <v>724</v>
      </c>
    </row>
    <row r="50" spans="1:15">
      <c r="A50" s="10"/>
      <c r="B50" s="80"/>
      <c r="C50" s="80"/>
      <c r="D50" s="80"/>
      <c r="E50" s="80"/>
      <c r="F50" s="5"/>
      <c r="G50" s="8"/>
      <c r="H50" s="69"/>
      <c r="I50" s="4"/>
      <c r="J50" s="4"/>
      <c r="K50" s="4"/>
      <c r="L50" s="4"/>
      <c r="M50" s="6"/>
      <c r="N50" s="2"/>
      <c r="O50" s="6"/>
    </row>
    <row r="51" spans="1:15">
      <c r="A51" s="10"/>
      <c r="B51" s="80"/>
      <c r="C51" s="80"/>
      <c r="D51" s="80"/>
      <c r="E51" s="80"/>
      <c r="F51" s="5"/>
      <c r="G51" s="8"/>
      <c r="H51" s="69"/>
      <c r="I51" s="4"/>
      <c r="J51" s="4"/>
      <c r="K51" s="4"/>
      <c r="L51" s="4"/>
      <c r="M51" s="6"/>
      <c r="N51" s="2"/>
      <c r="O51" s="6"/>
    </row>
    <row r="52" spans="1:15">
      <c r="A52" s="10" t="str">
        <f>+IF($E$1=1,M52,IF($E$1=2,N52,O52))</f>
        <v>Oma pääoma</v>
      </c>
      <c r="B52" s="10"/>
      <c r="C52" s="10"/>
      <c r="D52" s="10"/>
      <c r="E52" s="36"/>
      <c r="F52" s="8"/>
      <c r="G52" s="8"/>
      <c r="H52" s="70"/>
      <c r="I52" s="4"/>
      <c r="J52" s="4"/>
      <c r="K52" s="4"/>
      <c r="L52" s="4"/>
      <c r="M52" s="6" t="s">
        <v>23</v>
      </c>
      <c r="N52" s="2" t="s">
        <v>24</v>
      </c>
      <c r="O52" s="6" t="s">
        <v>25</v>
      </c>
    </row>
    <row r="53" spans="1:15">
      <c r="A53" s="6" t="str">
        <f>+IF($E$1=1,M53,IF($E$1=2,N53,O53))</f>
        <v>Osakepääoma</v>
      </c>
      <c r="B53" s="5" t="e">
        <f ca="1">_xll.HPVAL($J$1,$K$1,$K53,$I$1,"m.ctd","wa")/1000</f>
        <v>#NAME?</v>
      </c>
      <c r="C53" s="37">
        <v>329.41699999999997</v>
      </c>
      <c r="D53" s="37">
        <v>325.50200000000001</v>
      </c>
      <c r="E53" s="36">
        <v>329.37400000000002</v>
      </c>
      <c r="F53" s="5"/>
      <c r="G53" s="8"/>
      <c r="H53" s="68"/>
      <c r="I53" s="4"/>
      <c r="J53" s="4"/>
      <c r="K53" s="17">
        <v>2000000</v>
      </c>
      <c r="L53" s="4"/>
      <c r="M53" s="6" t="s">
        <v>618</v>
      </c>
      <c r="N53" s="2" t="s">
        <v>116</v>
      </c>
      <c r="O53" s="6" t="s">
        <v>148</v>
      </c>
    </row>
    <row r="54" spans="1:15">
      <c r="A54" s="85" t="str">
        <f>+IF($E$1=1,M54,IF($E$1=2,N54,O54))</f>
        <v>Muu oma pääoma</v>
      </c>
      <c r="B54" s="55" t="e">
        <f ca="1">_xll.HPVAL($J$1,$K$1,$K54,$I$1,"m.ctd","wa")/1000-_xll.HPVAL($J$1,$K$1,$K53,$I$1,"m.ctd","wa")/1000</f>
        <v>#NAME?</v>
      </c>
      <c r="C54" s="56">
        <f>1104.472-C53</f>
        <v>775.05500000000006</v>
      </c>
      <c r="D54" s="56">
        <f>1002.314-D53</f>
        <v>676.8119999999999</v>
      </c>
      <c r="E54" s="56">
        <f>1153.146-E53</f>
        <v>823.77199999999993</v>
      </c>
      <c r="F54" s="5"/>
      <c r="G54" s="8"/>
      <c r="H54" s="68"/>
      <c r="I54" s="4"/>
      <c r="J54" s="4"/>
      <c r="K54" s="17" t="s">
        <v>813</v>
      </c>
      <c r="L54" s="4"/>
      <c r="M54" s="6" t="s">
        <v>619</v>
      </c>
      <c r="N54" s="2" t="s">
        <v>144</v>
      </c>
      <c r="O54" s="6" t="s">
        <v>149</v>
      </c>
    </row>
    <row r="55" spans="1:15">
      <c r="A55" s="6" t="str">
        <f>+IF($E$1=1,M55,IF($E$1=2,N55,O55))</f>
        <v>Emoyhtiön omistajille kuuluva oma pääoma</v>
      </c>
      <c r="B55" s="37" t="e">
        <f ca="1">SUM(B53:B54)</f>
        <v>#NAME?</v>
      </c>
      <c r="C55" s="37">
        <f>SUM(C53:C54)</f>
        <v>1104.472</v>
      </c>
      <c r="D55" s="37">
        <f>SUM(D53:D54)</f>
        <v>1002.3139999999999</v>
      </c>
      <c r="E55" s="37">
        <f>SUM(E53:E54)</f>
        <v>1153.146</v>
      </c>
      <c r="F55" s="5"/>
      <c r="G55" s="8"/>
      <c r="H55" s="68"/>
      <c r="I55" s="4"/>
      <c r="J55" s="4"/>
      <c r="K55" s="17"/>
      <c r="L55" s="4"/>
      <c r="M55" s="6" t="s">
        <v>776</v>
      </c>
      <c r="N55" s="2" t="s">
        <v>829</v>
      </c>
      <c r="O55" s="6" t="s">
        <v>777</v>
      </c>
    </row>
    <row r="56" spans="1:15">
      <c r="A56" s="6"/>
      <c r="B56" s="37"/>
      <c r="C56" s="37"/>
      <c r="D56" s="37"/>
      <c r="E56" s="37"/>
      <c r="F56" s="5"/>
      <c r="G56" s="8"/>
      <c r="H56" s="68"/>
      <c r="I56" s="4"/>
      <c r="J56" s="4"/>
      <c r="K56" s="17"/>
      <c r="L56" s="4"/>
      <c r="M56" s="6"/>
      <c r="N56" s="2"/>
      <c r="O56" s="6"/>
    </row>
    <row r="57" spans="1:15">
      <c r="A57" s="85" t="str">
        <f>+IF($E$1=1,M57,IF($E$1=2,N57,O57))</f>
        <v>Vähemmistöosuus</v>
      </c>
      <c r="B57" s="55" t="e">
        <f ca="1">_xll.HPVAL($J$1,$K$1,$K57,$I$1,"m.ctd","wa")/1000</f>
        <v>#NAME?</v>
      </c>
      <c r="C57" s="56">
        <v>9.6319999999999997</v>
      </c>
      <c r="D57" s="56">
        <v>8.8629999999999995</v>
      </c>
      <c r="E57" s="42">
        <v>9.81</v>
      </c>
      <c r="F57" s="5"/>
      <c r="G57" s="8"/>
      <c r="H57" s="68"/>
      <c r="I57" s="4"/>
      <c r="J57" s="4"/>
      <c r="K57" s="17">
        <v>2060000</v>
      </c>
      <c r="L57" s="4"/>
      <c r="M57" s="6" t="s">
        <v>616</v>
      </c>
      <c r="N57" s="2" t="s">
        <v>597</v>
      </c>
      <c r="O57" s="6" t="s">
        <v>553</v>
      </c>
    </row>
    <row r="58" spans="1:15">
      <c r="A58" s="10" t="str">
        <f>+IF($E$1=1,M58,IF($E$1=2,N58,O58))</f>
        <v>Oma pääoma yhteensä</v>
      </c>
      <c r="B58" s="36" t="e">
        <f ca="1">SUM(B55:B57)</f>
        <v>#NAME?</v>
      </c>
      <c r="C58" s="36">
        <f>SUM(C55:C57)</f>
        <v>1114.104</v>
      </c>
      <c r="D58" s="36">
        <f>SUM(D55:D57)</f>
        <v>1011.1769999999999</v>
      </c>
      <c r="E58" s="36">
        <f>SUM(E55:E57)</f>
        <v>1162.9559999999999</v>
      </c>
      <c r="F58" s="5"/>
      <c r="G58" s="8"/>
      <c r="H58" s="68"/>
      <c r="I58" s="4"/>
      <c r="J58" s="4"/>
      <c r="K58" s="4"/>
      <c r="L58" s="4"/>
      <c r="M58" s="6" t="s">
        <v>574</v>
      </c>
      <c r="N58" s="2" t="s">
        <v>525</v>
      </c>
      <c r="O58" s="6" t="s">
        <v>526</v>
      </c>
    </row>
    <row r="59" spans="1:15">
      <c r="A59" s="10"/>
      <c r="B59" s="36"/>
      <c r="C59" s="36"/>
      <c r="D59" s="36"/>
      <c r="E59" s="36"/>
      <c r="F59" s="5"/>
      <c r="G59" s="8"/>
      <c r="H59" s="68"/>
      <c r="I59" s="4"/>
      <c r="J59" s="4"/>
      <c r="K59" s="4"/>
      <c r="L59" s="4"/>
      <c r="M59" s="10"/>
      <c r="N59" s="2"/>
      <c r="O59" s="6"/>
    </row>
    <row r="60" spans="1:15">
      <c r="A60" s="10" t="str">
        <f>+IF($E$1=1,M60,IF($E$1=2,N60,O60))</f>
        <v>Pitkäaikaiset velat</v>
      </c>
      <c r="B60" s="6"/>
      <c r="C60" s="6"/>
      <c r="D60" s="6"/>
      <c r="E60" s="36"/>
      <c r="F60" s="5"/>
      <c r="G60" s="8"/>
      <c r="H60" s="68"/>
      <c r="I60" s="4"/>
      <c r="J60" s="4"/>
      <c r="K60" s="17"/>
      <c r="L60" s="17"/>
      <c r="M60" s="6" t="s">
        <v>26</v>
      </c>
      <c r="N60" s="2" t="s">
        <v>753</v>
      </c>
      <c r="O60" s="6" t="s">
        <v>429</v>
      </c>
    </row>
    <row r="61" spans="1:15">
      <c r="A61" s="6" t="str">
        <f>+IF($E$1=1,M61,IF($E$1=2,N61,O61))</f>
        <v>Korolliset velat</v>
      </c>
      <c r="B61" s="40" t="e">
        <f ca="1">_xll.HPVAL($J$1,$K$1,$K61,$I$1,"m.ctd","wa")/1000+_xll.HPVAL($J$1,$K$1,$L61,$I$1,"m.ctd","wa")/1000+_xll.HPVAL($J$1,$K$1,$J61,$I$1,"m.ctd","wa")/1000</f>
        <v>#NAME?</v>
      </c>
      <c r="C61" s="5">
        <v>223.26499999999999</v>
      </c>
      <c r="D61" s="5">
        <v>244.25200000000001</v>
      </c>
      <c r="E61" s="36">
        <v>229.38300000000001</v>
      </c>
      <c r="F61" s="5"/>
      <c r="G61" s="8"/>
      <c r="H61" s="68"/>
      <c r="I61" s="4"/>
      <c r="J61" s="4">
        <v>2210000</v>
      </c>
      <c r="K61" s="17" t="s">
        <v>814</v>
      </c>
      <c r="L61" s="17">
        <v>2250000</v>
      </c>
      <c r="M61" s="6" t="s">
        <v>781</v>
      </c>
      <c r="N61" s="2" t="s">
        <v>675</v>
      </c>
      <c r="O61" s="6" t="s">
        <v>676</v>
      </c>
    </row>
    <row r="62" spans="1:15">
      <c r="A62" s="6" t="str">
        <f>+IF($E$1=1,M62,IF($E$1=2,N62,O62))</f>
        <v>Laskennalliset verovelat</v>
      </c>
      <c r="B62" s="40" t="e">
        <f ca="1">_xll.HPVAL($J$1,$K$1,$K62,$I$1,"m.ctd","wa")/1000+_xll.HPVAL($J$1,$K$1,$L62,$I$1,"m.ctd","wa")/1000</f>
        <v>#NAME?</v>
      </c>
      <c r="C62" s="5">
        <f>90.167+3.359</f>
        <v>93.525999999999996</v>
      </c>
      <c r="D62" s="5">
        <f>64.318+4.612</f>
        <v>68.929999999999993</v>
      </c>
      <c r="E62" s="36">
        <v>78.777000000000001</v>
      </c>
      <c r="F62" s="5"/>
      <c r="G62" s="8"/>
      <c r="H62" s="68"/>
      <c r="I62" s="4"/>
      <c r="J62" s="4"/>
      <c r="K62" s="17">
        <v>2380000</v>
      </c>
      <c r="L62" s="17">
        <v>2380100</v>
      </c>
      <c r="M62" s="6" t="s">
        <v>778</v>
      </c>
      <c r="N62" s="2" t="s">
        <v>779</v>
      </c>
      <c r="O62" s="6" t="s">
        <v>780</v>
      </c>
    </row>
    <row r="63" spans="1:15">
      <c r="A63" s="85" t="str">
        <f>+IF($E$1=1,M63,IF($E$1=2,N63,O63))</f>
        <v>Muut velat</v>
      </c>
      <c r="B63" s="55" t="e">
        <f ca="1">_xll.HPVAL($J$1,$K$1,$K63,$I$1,"m.ctd","wa")/1000-_xll.HPVAL($J$1,$K$1,$K62,$I$1,"m.ctd","wa")/1000-_xll.HPVAL($J$1,$K$1,$L62,$I$1,"m.ctd","wa")/1000-_xll.HPVAL($J$1,$K$1,$L61,$I$1,"m.ctd","wa")/1000-_xll.HPVAL($J$1,$K$1,$J61,$I$1,"m.ctd","wa")/1000-_xll.HPVAL($J$1,$K$1,$K61,$I$1,"m.ctd","wa")/1000</f>
        <v>#NAME?</v>
      </c>
      <c r="C63" s="55">
        <f>388.604-C61-C62</f>
        <v>71.813000000000002</v>
      </c>
      <c r="D63" s="55">
        <f>385.665-SUM(D61:D62)</f>
        <v>72.483000000000004</v>
      </c>
      <c r="E63" s="42">
        <f>50.455+17.025+1.532</f>
        <v>69.011999999999986</v>
      </c>
      <c r="F63" s="5"/>
      <c r="G63" s="8"/>
      <c r="H63" s="68"/>
      <c r="I63" s="4"/>
      <c r="J63" s="4"/>
      <c r="K63" s="4" t="s">
        <v>815</v>
      </c>
      <c r="L63" s="4"/>
      <c r="M63" s="6" t="s">
        <v>135</v>
      </c>
      <c r="N63" s="2" t="s">
        <v>723</v>
      </c>
      <c r="O63" s="6" t="s">
        <v>722</v>
      </c>
    </row>
    <row r="64" spans="1:15">
      <c r="A64" s="6"/>
      <c r="B64" s="22" t="e">
        <f ca="1">SUM(B61:B63)</f>
        <v>#NAME?</v>
      </c>
      <c r="C64" s="22">
        <f>SUM(C61:C63)</f>
        <v>388.60399999999998</v>
      </c>
      <c r="D64" s="22">
        <f>SUM(D61:D63)-0.1</f>
        <v>385.565</v>
      </c>
      <c r="E64" s="36">
        <f>SUM(E61:E63)</f>
        <v>377.17200000000003</v>
      </c>
      <c r="F64" s="5"/>
      <c r="G64" s="8"/>
      <c r="H64" s="68"/>
      <c r="I64" s="4"/>
      <c r="J64" s="4"/>
      <c r="K64" s="4"/>
      <c r="L64" s="4"/>
      <c r="M64" s="6"/>
      <c r="N64" s="2"/>
      <c r="O64" s="6"/>
    </row>
    <row r="65" spans="1:17">
      <c r="A65" s="10" t="str">
        <f>+IF($E$1=1,M65,IF($E$1=2,N65,O65))</f>
        <v>Lyhytaikaiset velat</v>
      </c>
      <c r="B65" s="5"/>
      <c r="C65" s="5"/>
      <c r="D65" s="5"/>
      <c r="E65" s="36"/>
      <c r="F65" s="5"/>
      <c r="G65" s="8"/>
      <c r="H65" s="68"/>
      <c r="I65" s="4"/>
      <c r="J65" s="4"/>
      <c r="K65" s="4"/>
      <c r="L65" s="4"/>
      <c r="M65" s="6" t="s">
        <v>160</v>
      </c>
      <c r="N65" s="2" t="s">
        <v>161</v>
      </c>
      <c r="O65" s="6" t="s">
        <v>598</v>
      </c>
    </row>
    <row r="66" spans="1:17">
      <c r="A66" s="6" t="str">
        <f>+IF($E$1=1,M66,IF($E$1=2,N66,O66))</f>
        <v>Korolliset velat</v>
      </c>
      <c r="B66" s="40" t="e">
        <f ca="1">_xll.HPVAL($J$1,$K$1,$K66,$I$1,"m.ctd","wa")/1000</f>
        <v>#NAME?</v>
      </c>
      <c r="C66" s="5">
        <v>352.78199999999998</v>
      </c>
      <c r="D66" s="5">
        <v>337.07400000000001</v>
      </c>
      <c r="E66" s="36">
        <v>174.23699999999999</v>
      </c>
      <c r="F66" s="5"/>
      <c r="G66" s="8"/>
      <c r="H66" s="68"/>
      <c r="I66" s="4"/>
      <c r="J66" s="4"/>
      <c r="K66" s="4" t="s">
        <v>816</v>
      </c>
      <c r="L66" s="4"/>
      <c r="M66" s="6" t="s">
        <v>781</v>
      </c>
      <c r="N66" s="2" t="s">
        <v>675</v>
      </c>
      <c r="O66" s="6" t="s">
        <v>676</v>
      </c>
    </row>
    <row r="67" spans="1:17">
      <c r="A67" s="85" t="str">
        <f>+IF($E$1=1,M67,IF($E$1=2,N67,O67))</f>
        <v>Muut velat</v>
      </c>
      <c r="B67" s="42" t="e">
        <f ca="1">_xll.HPVAL($J$1,$K$1,$K67,$I$1,"m.ctd","wa")/1000-_xll.HPVAL($J$1,$K$1,$L67,$I$1,"m.ctd","wa")/1000</f>
        <v>#NAME?</v>
      </c>
      <c r="C67" s="42">
        <f>1599.244-C66</f>
        <v>1246.462</v>
      </c>
      <c r="D67" s="55">
        <v>1027.2260000000001</v>
      </c>
      <c r="E67" s="42">
        <f>1328.495-E66</f>
        <v>1154.2579999999998</v>
      </c>
      <c r="F67" s="5"/>
      <c r="G67" s="8"/>
      <c r="H67" s="68"/>
      <c r="I67" s="4"/>
      <c r="J67" s="4"/>
      <c r="K67" s="4" t="s">
        <v>817</v>
      </c>
      <c r="L67" s="4" t="s">
        <v>816</v>
      </c>
      <c r="M67" s="6" t="s">
        <v>135</v>
      </c>
      <c r="N67" s="2" t="s">
        <v>723</v>
      </c>
      <c r="O67" s="6" t="s">
        <v>722</v>
      </c>
    </row>
    <row r="68" spans="1:17">
      <c r="A68" s="6"/>
      <c r="B68" s="36" t="e">
        <f ca="1">SUM(B66:B67)</f>
        <v>#NAME?</v>
      </c>
      <c r="C68" s="36">
        <f>SUM(C66:C67)</f>
        <v>1599.2439999999999</v>
      </c>
      <c r="D68" s="36">
        <f>SUM(D66:D67)</f>
        <v>1364.3000000000002</v>
      </c>
      <c r="E68" s="36">
        <f>SUM(E66:E67)</f>
        <v>1328.4949999999999</v>
      </c>
      <c r="F68" s="5"/>
      <c r="G68" s="8"/>
      <c r="H68" s="68"/>
      <c r="I68" s="4"/>
      <c r="J68" s="4"/>
      <c r="K68" s="4"/>
      <c r="L68" s="4"/>
      <c r="M68" s="6"/>
      <c r="N68" s="2"/>
      <c r="O68" s="6"/>
    </row>
    <row r="69" spans="1:17">
      <c r="A69" s="39"/>
      <c r="B69" s="36"/>
      <c r="C69" s="36"/>
      <c r="D69" s="36"/>
      <c r="E69" s="36"/>
      <c r="F69" s="5"/>
      <c r="G69" s="8"/>
      <c r="H69" s="68"/>
      <c r="I69" s="4"/>
      <c r="J69" s="4"/>
      <c r="K69" s="4"/>
      <c r="L69" s="4"/>
      <c r="M69" s="6"/>
      <c r="N69" s="2"/>
      <c r="O69" s="6"/>
    </row>
    <row r="70" spans="1:17" s="50" customFormat="1">
      <c r="A70" s="10" t="str">
        <f>+IF($E$1=1,M70,IF($E$1=2,N70,O70))</f>
        <v>Vieras pääoma yhteensä</v>
      </c>
      <c r="B70" s="80" t="e">
        <f ca="1">B64+B68</f>
        <v>#NAME?</v>
      </c>
      <c r="C70" s="80">
        <f>C64+C68</f>
        <v>1987.848</v>
      </c>
      <c r="D70" s="80">
        <f>D64+D68</f>
        <v>1749.8650000000002</v>
      </c>
      <c r="E70" s="80">
        <f>E64+E68</f>
        <v>1705.6669999999999</v>
      </c>
      <c r="F70" s="40"/>
      <c r="G70" s="11"/>
      <c r="H70" s="68"/>
      <c r="I70" s="28"/>
      <c r="J70" s="28"/>
      <c r="K70" s="28"/>
      <c r="L70" s="28"/>
      <c r="M70" s="39" t="s">
        <v>103</v>
      </c>
      <c r="N70" s="41" t="s">
        <v>522</v>
      </c>
      <c r="O70" s="39" t="s">
        <v>104</v>
      </c>
    </row>
    <row r="71" spans="1:17">
      <c r="A71" s="85"/>
      <c r="B71" s="36"/>
      <c r="C71" s="36"/>
      <c r="D71" s="36"/>
      <c r="E71" s="36"/>
      <c r="F71" s="5"/>
      <c r="G71" s="8"/>
      <c r="H71" s="68"/>
      <c r="I71" s="4"/>
      <c r="J71" s="4"/>
      <c r="K71" s="4"/>
      <c r="L71" s="4"/>
      <c r="M71" s="6"/>
      <c r="N71" s="2"/>
      <c r="O71" s="6"/>
    </row>
    <row r="72" spans="1:17">
      <c r="A72" s="91" t="str">
        <f>+IF($E$1=1,M72,IF($E$1=2,N72,O72))</f>
        <v>Vastattavaa</v>
      </c>
      <c r="B72" s="43" t="e">
        <f ca="1">+B68+B64+B58</f>
        <v>#NAME?</v>
      </c>
      <c r="C72" s="43">
        <f>+C68+C64+C58</f>
        <v>3101.9520000000002</v>
      </c>
      <c r="D72" s="43">
        <f>+D68+D64+D58+0.1</f>
        <v>2761.1420000000003</v>
      </c>
      <c r="E72" s="43">
        <f>+E68+E64+E58</f>
        <v>2868.6229999999996</v>
      </c>
      <c r="F72" s="5"/>
      <c r="G72" s="8"/>
      <c r="H72" s="69"/>
      <c r="I72" s="4"/>
      <c r="J72" s="169" t="s">
        <v>812</v>
      </c>
      <c r="K72" s="170" t="e">
        <f ca="1">B49-B72</f>
        <v>#NAME?</v>
      </c>
      <c r="L72" s="4"/>
      <c r="M72" s="6" t="s">
        <v>726</v>
      </c>
      <c r="N72" s="2" t="s">
        <v>175</v>
      </c>
      <c r="O72" s="6" t="s">
        <v>725</v>
      </c>
    </row>
    <row r="75" spans="1:17">
      <c r="A75" s="23" t="str">
        <f t="shared" ref="A75:A86" si="2">+IF($E$1=1,M75,IF($E$1=2,N75,O75))</f>
        <v>LYHENNETTY RAHAVIRTALASKELMA</v>
      </c>
      <c r="M75" s="21" t="s">
        <v>727</v>
      </c>
      <c r="N75" s="21" t="s">
        <v>287</v>
      </c>
      <c r="O75" s="26" t="s">
        <v>288</v>
      </c>
      <c r="P75" s="4"/>
      <c r="Q75" s="4"/>
    </row>
    <row r="76" spans="1:17">
      <c r="A76" s="97" t="str">
        <f t="shared" si="2"/>
        <v>MEUR</v>
      </c>
      <c r="B76" s="131" t="s">
        <v>357</v>
      </c>
      <c r="C76" s="131" t="s">
        <v>357</v>
      </c>
      <c r="D76" s="131" t="s">
        <v>601</v>
      </c>
      <c r="E76" s="109">
        <v>2005</v>
      </c>
      <c r="H76" s="63"/>
      <c r="M76" s="2" t="s">
        <v>740</v>
      </c>
      <c r="N76" s="2" t="s">
        <v>740</v>
      </c>
      <c r="O76" s="2" t="s">
        <v>740</v>
      </c>
      <c r="P76" s="4"/>
      <c r="Q76" s="4"/>
    </row>
    <row r="77" spans="1:17">
      <c r="A77" s="23" t="str">
        <f t="shared" si="2"/>
        <v>Liiketoiminnan rahavirta:</v>
      </c>
      <c r="H77" s="63"/>
      <c r="M77" s="4" t="s">
        <v>181</v>
      </c>
      <c r="N77" s="4" t="s">
        <v>182</v>
      </c>
      <c r="O77" s="25" t="s">
        <v>183</v>
      </c>
      <c r="P77" s="4"/>
      <c r="Q77" s="4"/>
    </row>
    <row r="78" spans="1:17">
      <c r="A78" s="18" t="str">
        <f t="shared" si="2"/>
        <v>Tulos ennen veroja</v>
      </c>
      <c r="B78" s="36" t="e">
        <f ca="1">+B18</f>
        <v>#NAME?</v>
      </c>
      <c r="C78" s="36">
        <f>+C18</f>
        <v>39.997000000000057</v>
      </c>
      <c r="D78" s="80">
        <f>D18</f>
        <v>92.471999999999952</v>
      </c>
      <c r="E78" s="22">
        <v>212.35599999999999</v>
      </c>
      <c r="H78" s="63"/>
      <c r="M78" s="6" t="str">
        <f>+M18</f>
        <v>Tulos ennen veroja</v>
      </c>
      <c r="N78" s="6" t="str">
        <f>+N18</f>
        <v>Profit before taxes</v>
      </c>
      <c r="O78" s="6" t="str">
        <f>+O18</f>
        <v>Resultat före skatter</v>
      </c>
      <c r="P78" s="4"/>
      <c r="Q78" s="4"/>
    </row>
    <row r="79" spans="1:17">
      <c r="A79" s="18" t="str">
        <f t="shared" si="2"/>
        <v>Poistot ja arvonalentumiset</v>
      </c>
      <c r="B79" s="36" t="e">
        <f ca="1">-B13</f>
        <v>#NAME?</v>
      </c>
      <c r="C79" s="36">
        <f>-C13</f>
        <v>17.616</v>
      </c>
      <c r="D79" s="36">
        <f>-D13</f>
        <v>35.191000000000003</v>
      </c>
      <c r="E79" s="22">
        <v>71.552000000000007</v>
      </c>
      <c r="H79" s="63"/>
      <c r="M79" s="4" t="s">
        <v>623</v>
      </c>
      <c r="N79" s="4" t="s">
        <v>524</v>
      </c>
      <c r="O79" s="25" t="s">
        <v>624</v>
      </c>
      <c r="P79" s="4"/>
      <c r="Q79" s="4"/>
    </row>
    <row r="80" spans="1:17">
      <c r="A80" s="18" t="str">
        <f t="shared" si="2"/>
        <v>Rahoitustuotot ja -kulut</v>
      </c>
      <c r="B80" s="36" t="e">
        <f ca="1">-B15</f>
        <v>#NAME?</v>
      </c>
      <c r="C80" s="36">
        <f>-C15</f>
        <v>2.58</v>
      </c>
      <c r="D80" s="36">
        <f>-D15</f>
        <v>9.4480000000000004</v>
      </c>
      <c r="E80" s="22">
        <v>23.417000000000002</v>
      </c>
      <c r="H80" s="63"/>
      <c r="M80" s="6" t="str">
        <f>+M15</f>
        <v>Rahoitustuotot ja -kulut</v>
      </c>
      <c r="N80" s="6" t="str">
        <f>+N15</f>
        <v>Financial income and expenses</v>
      </c>
      <c r="O80" s="6" t="str">
        <f>+O15</f>
        <v>Finansiella intäkter och kostnader</v>
      </c>
      <c r="P80" s="4"/>
      <c r="Q80" s="4"/>
    </row>
    <row r="81" spans="1:17">
      <c r="A81" s="8" t="str">
        <f t="shared" si="2"/>
        <v>Käyttöomaisuuden myyntivoitot ja -tappiot ja muut oikaisut</v>
      </c>
      <c r="B81" s="84" t="e">
        <f ca="1">-(_xll.HPVAL($J$1,$K$1,$K81,$I$1,"m.ctd","wa")/1000+_xll.HPVAL($J$1,$K$1,$L81,$I$1,"m.ctd","wa")/1000)</f>
        <v>#NAME?</v>
      </c>
      <c r="C81" s="36">
        <f>-0.502-0.403</f>
        <v>-0.90500000000000003</v>
      </c>
      <c r="D81" s="36">
        <f>-6.07-(-1.127)</f>
        <v>-4.9430000000000005</v>
      </c>
      <c r="E81" s="22">
        <f>-11.846-1.494</f>
        <v>-13.34</v>
      </c>
      <c r="H81" s="63"/>
      <c r="J81" s="192" t="e">
        <f ca="1">_xll.HPVAL($J$2,$K$2,$J82,$I$2,"m.ctd","wa")/1000-_xll.HPVAL($J$1,$K$1,$J82,$I$1,"m.ctd","wa")/1000+(_xll.HPVAL($J$2,$K$2,$K82,$I$2,"m.ctd","wa")/1000-_xll.HPVAL($J$1,$K$1,$K82,$I$1,"m.ctd","wa")/1000)+(B67-E67)+(_xll.HPVAL($J$1,$K$1,$L82,$I$1,"m.ctd","wa")/1000-_xll.HPVAL($J$2,$K$2,$L82,$I$2,"m.ctd","wa")/1000)</f>
        <v>#NAME?</v>
      </c>
      <c r="K81" t="s">
        <v>821</v>
      </c>
      <c r="L81" t="s">
        <v>822</v>
      </c>
      <c r="M81" s="28" t="s">
        <v>185</v>
      </c>
      <c r="N81" s="28" t="s">
        <v>895</v>
      </c>
      <c r="O81" s="29" t="s">
        <v>764</v>
      </c>
      <c r="P81" s="4"/>
      <c r="Q81" s="4"/>
    </row>
    <row r="82" spans="1:17">
      <c r="A82" s="18" t="str">
        <f t="shared" si="2"/>
        <v>Osuus osakkuusyhtiöiden tuloksesta</v>
      </c>
      <c r="B82" s="36" t="e">
        <f ca="1">-B17</f>
        <v>#NAME?</v>
      </c>
      <c r="C82" s="36">
        <f>-C17</f>
        <v>-6.657</v>
      </c>
      <c r="D82" s="36">
        <f>-D17</f>
        <v>-7.1479999999999997</v>
      </c>
      <c r="E82" s="22">
        <v>-10.91</v>
      </c>
      <c r="H82" s="63"/>
      <c r="J82" s="187" t="s">
        <v>811</v>
      </c>
      <c r="K82" s="187" t="s">
        <v>807</v>
      </c>
      <c r="L82" s="188">
        <v>2030100</v>
      </c>
      <c r="M82" s="6" t="str">
        <f>+M17</f>
        <v>Osuus osakkuusyhtiöiden tuloksesta</v>
      </c>
      <c r="N82" s="6" t="str">
        <f>+N17</f>
        <v>Share of profit of associates</v>
      </c>
      <c r="O82" s="6" t="str">
        <f>+O17</f>
        <v>Resultatandel i intresseföretag</v>
      </c>
      <c r="P82" s="4"/>
      <c r="Q82" s="4"/>
    </row>
    <row r="83" spans="1:17">
      <c r="A83" s="89" t="str">
        <f t="shared" si="2"/>
        <v>Käyttöpääoman muutos</v>
      </c>
      <c r="B83" s="189">
        <f>-8.751-123.732+89.029+13.439-15.392+16.284-0.709</f>
        <v>-29.832000000000011</v>
      </c>
      <c r="C83" s="42">
        <f>-8.751-123.732+89.029+13.439-15.392+16.284-0.709</f>
        <v>-29.832000000000011</v>
      </c>
      <c r="D83" s="42">
        <v>-165.65799999999999</v>
      </c>
      <c r="E83" s="45">
        <v>-119.80800000000001</v>
      </c>
      <c r="G83" s="3"/>
      <c r="H83" s="63"/>
      <c r="M83" s="4" t="s">
        <v>896</v>
      </c>
      <c r="N83" s="4" t="s">
        <v>897</v>
      </c>
      <c r="O83" s="25" t="s">
        <v>898</v>
      </c>
      <c r="P83" s="4"/>
      <c r="Q83" s="4"/>
    </row>
    <row r="84" spans="1:17">
      <c r="A84" s="18" t="str">
        <f t="shared" si="2"/>
        <v>Liiketoiminnan rahavirta ennen rahoituseriä ja veroja</v>
      </c>
      <c r="B84" s="36" t="e">
        <f ca="1">SUM(B78:B83)</f>
        <v>#NAME?</v>
      </c>
      <c r="C84" s="36">
        <f>SUM(C78:C83)</f>
        <v>22.799000000000046</v>
      </c>
      <c r="D84" s="36">
        <f>SUM(D78:D83)</f>
        <v>-40.638000000000034</v>
      </c>
      <c r="E84" s="22">
        <f>SUM(E78:E83)</f>
        <v>163.26700000000005</v>
      </c>
      <c r="H84" s="63"/>
      <c r="M84" s="4" t="s">
        <v>899</v>
      </c>
      <c r="N84" s="4" t="s">
        <v>900</v>
      </c>
      <c r="O84" s="25" t="s">
        <v>901</v>
      </c>
      <c r="P84" s="4"/>
      <c r="Q84" s="4"/>
    </row>
    <row r="85" spans="1:17">
      <c r="A85" s="89" t="str">
        <f t="shared" si="2"/>
        <v>Rahoituserät ja tuloverot</v>
      </c>
      <c r="B85" s="40" t="e">
        <f ca="1">_xll.HPVAL($J$1,$K$1,$J85,$I$1,"m.ctd","wa")/1000+(_xll.HPVAL($J$1,$K$1,$K85,$I$1,"m.ctd","wa")/1000+_xll.HPVAL($J$1,$K$1,$L85,$I$1,"m.ctd","wa")/1000)+_xll.HPVAL($J$1,$K$1,$J86,$I$1,"m.ctd","wa")/1000+_xll.HPVAL($J$1,$K$1,$K86,$I$1,"m.ctd","wa")/1000+_xll.HPVAL($J$1,$K$1,$L86,$I$1,"m.ctd","wa")/1000</f>
        <v>#NAME?</v>
      </c>
      <c r="C85" s="42">
        <f>-2.425+0.664+2.772-25.51</f>
        <v>-24.499000000000002</v>
      </c>
      <c r="D85" s="42">
        <v>-51.448</v>
      </c>
      <c r="E85" s="45">
        <v>-87.263999999999996</v>
      </c>
      <c r="H85" s="63"/>
      <c r="J85" t="s">
        <v>626</v>
      </c>
      <c r="K85" t="s">
        <v>827</v>
      </c>
      <c r="L85" s="171" t="s">
        <v>627</v>
      </c>
      <c r="M85" s="28" t="s">
        <v>825</v>
      </c>
      <c r="N85" s="28" t="s">
        <v>826</v>
      </c>
      <c r="O85" s="25" t="s">
        <v>124</v>
      </c>
      <c r="P85" s="4"/>
      <c r="Q85" s="4"/>
    </row>
    <row r="86" spans="1:17" ht="10.8" thickBot="1">
      <c r="A86" s="92" t="str">
        <f t="shared" si="2"/>
        <v>Liiketoiminnan rahavirta</v>
      </c>
      <c r="B86" s="43" t="e">
        <f ca="1">SUM(B84:B85)</f>
        <v>#NAME?</v>
      </c>
      <c r="C86" s="43">
        <f>SUM(C84:C85)</f>
        <v>-1.6999999999999567</v>
      </c>
      <c r="D86" s="43">
        <f>SUM(D84:D85)</f>
        <v>-92.086000000000041</v>
      </c>
      <c r="E86" s="93">
        <f>SUM(E84:E85)</f>
        <v>76.003000000000057</v>
      </c>
      <c r="G86" s="186"/>
      <c r="H86" s="63"/>
      <c r="J86" t="s">
        <v>628</v>
      </c>
      <c r="K86" t="s">
        <v>629</v>
      </c>
      <c r="L86" s="171" t="s">
        <v>630</v>
      </c>
      <c r="M86" s="30" t="s">
        <v>585</v>
      </c>
      <c r="N86" s="30" t="s">
        <v>586</v>
      </c>
      <c r="O86" s="31" t="s">
        <v>587</v>
      </c>
      <c r="P86" s="4"/>
      <c r="Q86" s="4"/>
    </row>
    <row r="87" spans="1:17" ht="10.8" thickTop="1">
      <c r="A87" s="18"/>
      <c r="B87" s="36"/>
      <c r="C87" s="36"/>
      <c r="E87" s="22"/>
      <c r="H87" s="63"/>
      <c r="M87" s="4"/>
      <c r="N87" s="4"/>
      <c r="O87" s="25"/>
      <c r="P87" s="4"/>
      <c r="Q87" s="4"/>
    </row>
    <row r="88" spans="1:17">
      <c r="A88" s="23" t="str">
        <f t="shared" ref="A88:A93" si="3">+IF($E$1=1,M88,IF($E$1=2,N88,O88))</f>
        <v>Investointien rahavirta:</v>
      </c>
      <c r="B88" s="36"/>
      <c r="C88" s="36"/>
      <c r="E88" s="22"/>
      <c r="H88" s="63"/>
      <c r="M88" s="4" t="s">
        <v>902</v>
      </c>
      <c r="N88" s="4" t="s">
        <v>903</v>
      </c>
      <c r="O88" s="25" t="s">
        <v>904</v>
      </c>
      <c r="P88" s="4"/>
      <c r="Q88" s="4"/>
    </row>
    <row r="89" spans="1:17">
      <c r="A89" s="18" t="str">
        <f t="shared" si="3"/>
        <v>Investoinnit osakkeisiin ja yritysostot</v>
      </c>
      <c r="B89" s="193">
        <f>-81.066-0.168+61.763+2.406</f>
        <v>-17.065000000000012</v>
      </c>
      <c r="C89" s="73">
        <f>-81.066-0.168+61.763+2.406</f>
        <v>-17.065000000000012</v>
      </c>
      <c r="D89" s="36">
        <v>-141.983</v>
      </c>
      <c r="E89" s="22">
        <f>-125.971-26.193</f>
        <v>-152.16400000000002</v>
      </c>
      <c r="H89" s="63"/>
      <c r="K89" t="s">
        <v>631</v>
      </c>
      <c r="L89" t="s">
        <v>632</v>
      </c>
      <c r="M89" s="4" t="s">
        <v>395</v>
      </c>
      <c r="N89" s="4" t="s">
        <v>502</v>
      </c>
      <c r="O89" s="25" t="s">
        <v>201</v>
      </c>
      <c r="P89" s="4"/>
      <c r="Q89" s="4"/>
    </row>
    <row r="90" spans="1:17">
      <c r="A90" s="18" t="str">
        <f t="shared" si="3"/>
        <v>Nettoinvestoinnit aineellisiin ja aineettomiin hyödykkeisiin</v>
      </c>
      <c r="B90" s="193">
        <f>-14.72+2.769</f>
        <v>-11.951000000000001</v>
      </c>
      <c r="C90" s="73">
        <f>-14.72+2.769</f>
        <v>-11.951000000000001</v>
      </c>
      <c r="D90" s="36">
        <v>-24.311</v>
      </c>
      <c r="E90" s="22">
        <f>-78.974+51.217</f>
        <v>-27.757000000000005</v>
      </c>
      <c r="H90" s="63"/>
      <c r="M90" s="4" t="s">
        <v>393</v>
      </c>
      <c r="N90" s="4" t="s">
        <v>394</v>
      </c>
      <c r="O90" s="25" t="s">
        <v>167</v>
      </c>
      <c r="P90" s="4"/>
      <c r="Q90" s="4"/>
    </row>
    <row r="91" spans="1:17">
      <c r="A91" s="18" t="str">
        <f t="shared" si="3"/>
        <v>Luovutustulot osakkeista</v>
      </c>
      <c r="B91" s="193">
        <v>0.432</v>
      </c>
      <c r="C91" s="73">
        <v>0.432</v>
      </c>
      <c r="D91" s="36">
        <v>1.089</v>
      </c>
      <c r="E91" s="22">
        <v>0.7</v>
      </c>
      <c r="G91" s="36"/>
      <c r="H91" s="63"/>
      <c r="M91" s="4" t="s">
        <v>758</v>
      </c>
      <c r="N91" s="4" t="s">
        <v>573</v>
      </c>
      <c r="O91" s="25" t="s">
        <v>117</v>
      </c>
      <c r="P91" s="4"/>
      <c r="Q91" s="4"/>
    </row>
    <row r="92" spans="1:17">
      <c r="A92" s="94" t="str">
        <f t="shared" si="3"/>
        <v>Rahavirta muista investoinneista</v>
      </c>
      <c r="B92" s="194">
        <f>-0.95+0.086</f>
        <v>-0.86399999999999999</v>
      </c>
      <c r="C92" s="77">
        <f>-0.95+0.086</f>
        <v>-0.86399999999999999</v>
      </c>
      <c r="D92" s="42">
        <v>-0.39500000000000002</v>
      </c>
      <c r="E92" s="45">
        <v>0.9</v>
      </c>
      <c r="H92" s="63"/>
      <c r="M92" s="4" t="s">
        <v>503</v>
      </c>
      <c r="N92" s="4" t="s">
        <v>741</v>
      </c>
      <c r="O92" s="25" t="s">
        <v>305</v>
      </c>
      <c r="P92" s="4"/>
      <c r="Q92" s="4"/>
    </row>
    <row r="93" spans="1:17" ht="10.8" thickBot="1">
      <c r="A93" s="92" t="str">
        <f t="shared" si="3"/>
        <v>Investointien rahavirta</v>
      </c>
      <c r="B93" s="96">
        <f>SUM(B89:B92)</f>
        <v>-29.448000000000015</v>
      </c>
      <c r="C93" s="96">
        <f>SUM(C89:C92)</f>
        <v>-29.448000000000015</v>
      </c>
      <c r="D93" s="43">
        <f>SUM(D89:D92)</f>
        <v>-165.60000000000002</v>
      </c>
      <c r="E93" s="43">
        <f>SUM(E89:E92)</f>
        <v>-178.32100000000003</v>
      </c>
      <c r="H93" s="63"/>
      <c r="M93" s="32" t="s">
        <v>588</v>
      </c>
      <c r="N93" s="32" t="s">
        <v>589</v>
      </c>
      <c r="O93" s="33" t="s">
        <v>343</v>
      </c>
      <c r="P93" s="4"/>
      <c r="Q93" s="4"/>
    </row>
    <row r="94" spans="1:17" ht="10.8" thickTop="1">
      <c r="A94" s="18"/>
      <c r="B94" s="73"/>
      <c r="C94" s="73"/>
      <c r="E94" s="22"/>
      <c r="H94" s="63"/>
      <c r="M94" s="28"/>
      <c r="N94" s="28"/>
      <c r="O94" s="29"/>
      <c r="P94" s="4"/>
      <c r="Q94" s="4"/>
    </row>
    <row r="95" spans="1:17">
      <c r="A95" s="23" t="str">
        <f t="shared" ref="A95:A101" si="4">+IF($E$1=1,M95,IF($E$1=2,N95,O95))</f>
        <v>Rahoituksen rahavirta:</v>
      </c>
      <c r="B95" s="73"/>
      <c r="C95" s="73"/>
      <c r="E95" s="22"/>
      <c r="H95" s="63"/>
      <c r="M95" s="4" t="s">
        <v>306</v>
      </c>
      <c r="N95" s="4" t="s">
        <v>338</v>
      </c>
      <c r="O95" s="25" t="s">
        <v>339</v>
      </c>
      <c r="P95" s="4"/>
      <c r="Q95" s="4"/>
    </row>
    <row r="96" spans="1:17">
      <c r="A96" s="18" t="str">
        <f t="shared" si="4"/>
        <v>Maksullinen osakeanti</v>
      </c>
      <c r="B96" s="40" t="e">
        <f ca="1">(_xll.HPVAL($J$1,$K$1,$K96,$I$1,"m.ctd","wa")/1000)</f>
        <v>#NAME?</v>
      </c>
      <c r="C96" s="74">
        <f>139.572-121.886-1.235-16.284</f>
        <v>0.1670000000000087</v>
      </c>
      <c r="E96" s="22">
        <v>22.134</v>
      </c>
      <c r="H96" s="63"/>
      <c r="K96" t="s">
        <v>633</v>
      </c>
      <c r="M96" s="4" t="s">
        <v>340</v>
      </c>
      <c r="N96" s="4" t="s">
        <v>444</v>
      </c>
      <c r="O96" s="25" t="s">
        <v>445</v>
      </c>
      <c r="P96" s="4"/>
      <c r="Q96" s="4"/>
    </row>
    <row r="97" spans="1:17">
      <c r="A97" s="18" t="str">
        <f t="shared" si="4"/>
        <v>Pitkäaikaisten lainojen nostot</v>
      </c>
      <c r="B97" s="40" t="e">
        <f ca="1">(_xll.HPVAL($J$1,$K$1,$K97,$I$1,"m.ctd","wa")/1000)</f>
        <v>#NAME?</v>
      </c>
      <c r="C97" s="74">
        <v>2.1080000000000001</v>
      </c>
      <c r="D97" s="36">
        <v>20.574999999999999</v>
      </c>
      <c r="E97" s="22">
        <v>53.247</v>
      </c>
      <c r="H97" s="63"/>
      <c r="K97" t="s">
        <v>634</v>
      </c>
      <c r="M97" s="4" t="s">
        <v>678</v>
      </c>
      <c r="N97" s="4" t="s">
        <v>679</v>
      </c>
      <c r="O97" s="25" t="s">
        <v>680</v>
      </c>
      <c r="P97" s="4"/>
      <c r="Q97" s="4"/>
    </row>
    <row r="98" spans="1:17">
      <c r="A98" s="18" t="str">
        <f t="shared" si="4"/>
        <v>Pitkäaikaisten lainojen takaisinmaksut ja muut muutokset</v>
      </c>
      <c r="B98" s="40" t="e">
        <f ca="1">_xll.HPVAL($J$1,$K$1,$J98,$I$1,"m.ctd","wa")/1000+_xll.HPVAL($J$1,$K$1,$K98,$I$1,"m.ctd","wa")/1000+_xll.HPVAL($J$1,$K$1,$L98,$I$1,"m.ctd","wa")/1000</f>
        <v>#NAME?</v>
      </c>
      <c r="C98" s="74">
        <v>-10.367000000000001</v>
      </c>
      <c r="D98" s="36">
        <v>-20.882000000000001</v>
      </c>
      <c r="E98" s="22">
        <v>-82.962000000000003</v>
      </c>
      <c r="H98" s="63"/>
      <c r="J98" t="s">
        <v>636</v>
      </c>
      <c r="K98" t="s">
        <v>637</v>
      </c>
      <c r="L98" t="s">
        <v>638</v>
      </c>
      <c r="M98" s="4" t="s">
        <v>681</v>
      </c>
      <c r="N98" s="4" t="s">
        <v>118</v>
      </c>
      <c r="O98" s="25" t="s">
        <v>682</v>
      </c>
      <c r="P98" s="4"/>
      <c r="Q98" s="4"/>
    </row>
    <row r="99" spans="1:17">
      <c r="A99" s="18" t="str">
        <f t="shared" si="4"/>
        <v xml:space="preserve">Maksetut osingot </v>
      </c>
      <c r="B99" s="40" t="e">
        <f ca="1">_xll.HPVAL($J$1,$K$1,$K99,$I$1,"m.ctd","wa")/1000</f>
        <v>#NAME?</v>
      </c>
      <c r="C99" s="74">
        <v>-141.161</v>
      </c>
      <c r="D99" s="36">
        <v>-84.081000000000003</v>
      </c>
      <c r="E99" s="22">
        <v>-83.906999999999996</v>
      </c>
      <c r="H99" s="63"/>
      <c r="K99" t="s">
        <v>635</v>
      </c>
      <c r="M99" s="4" t="s">
        <v>683</v>
      </c>
      <c r="N99" s="4" t="s">
        <v>178</v>
      </c>
      <c r="O99" s="25" t="s">
        <v>625</v>
      </c>
      <c r="P99" s="4"/>
      <c r="Q99" s="4"/>
    </row>
    <row r="100" spans="1:17">
      <c r="A100" s="89" t="str">
        <f t="shared" si="4"/>
        <v xml:space="preserve">Lyhytaikaisten lainojen muutos ja muut muutokset </v>
      </c>
      <c r="B100" s="40" t="e">
        <f ca="1">_xll.HPVAL($J$1,$K$1,$K100,$I$1,"m.ctd","wa")/1000+_xll.HPVAL($J$1,$K$1,$L100,$I$1,"m.ctd","wa")/1000</f>
        <v>#NAME?</v>
      </c>
      <c r="C100" s="196">
        <f>2.139+173.978</f>
        <v>176.11700000000002</v>
      </c>
      <c r="D100" s="42">
        <v>288.31599999999997</v>
      </c>
      <c r="E100" s="45">
        <f>-44.676+183.686+0.07</f>
        <v>139.07999999999998</v>
      </c>
      <c r="H100" s="63"/>
      <c r="K100" t="s">
        <v>634</v>
      </c>
      <c r="L100" t="s">
        <v>639</v>
      </c>
      <c r="M100" s="27" t="s">
        <v>684</v>
      </c>
      <c r="N100" s="27" t="s">
        <v>685</v>
      </c>
      <c r="O100" s="34" t="s">
        <v>7</v>
      </c>
      <c r="P100" s="4"/>
      <c r="Q100" s="4"/>
    </row>
    <row r="101" spans="1:17" ht="10.8" thickBot="1">
      <c r="A101" s="92" t="str">
        <f t="shared" si="4"/>
        <v>Rahoituksen rahavirta</v>
      </c>
      <c r="B101" s="96" t="e">
        <f ca="1">SUM(B96:B100)</f>
        <v>#NAME?</v>
      </c>
      <c r="C101" s="96">
        <f>SUM(C96:C100)</f>
        <v>26.864000000000033</v>
      </c>
      <c r="D101" s="93">
        <f>SUM(D96:D100)</f>
        <v>203.92799999999997</v>
      </c>
      <c r="E101" s="93">
        <f>SUM(E96:E100)</f>
        <v>47.591999999999985</v>
      </c>
      <c r="H101" s="63"/>
      <c r="M101" s="32" t="s">
        <v>346</v>
      </c>
      <c r="N101" s="32" t="s">
        <v>345</v>
      </c>
      <c r="O101" s="33" t="s">
        <v>344</v>
      </c>
      <c r="P101" s="4"/>
      <c r="Q101" s="4"/>
    </row>
    <row r="102" spans="1:17" ht="10.8" thickTop="1">
      <c r="A102" s="95"/>
      <c r="B102" s="96"/>
      <c r="C102" s="96"/>
      <c r="D102" s="101"/>
      <c r="E102" s="93"/>
      <c r="H102" s="63"/>
      <c r="M102" s="4"/>
      <c r="N102" s="4"/>
      <c r="O102" s="25"/>
      <c r="P102" s="4"/>
      <c r="Q102" s="4"/>
    </row>
    <row r="103" spans="1:17" ht="10.8" thickBot="1">
      <c r="A103" s="97" t="str">
        <f>+IF($E$1=1,M103,IF($E$1=2,N103,O103))</f>
        <v>Likvidien varojen muutos, lisäys (+) / vähennys (-)</v>
      </c>
      <c r="B103" s="98" t="e">
        <f ca="1">B86+B93+B101</f>
        <v>#NAME?</v>
      </c>
      <c r="C103" s="98">
        <f>C86+C93+C101</f>
        <v>-4.2839999999999385</v>
      </c>
      <c r="D103" s="99">
        <f>D86+D93+D101</f>
        <v>-53.758000000000067</v>
      </c>
      <c r="E103" s="100">
        <f>+E86+E93+E101</f>
        <v>-54.725999999999985</v>
      </c>
      <c r="H103" s="63"/>
      <c r="M103" s="30" t="s">
        <v>520</v>
      </c>
      <c r="N103" s="30" t="s">
        <v>519</v>
      </c>
      <c r="O103" s="31" t="s">
        <v>673</v>
      </c>
      <c r="P103" s="4"/>
      <c r="Q103" s="4"/>
    </row>
    <row r="104" spans="1:17" ht="10.8" thickTop="1">
      <c r="A104" s="133"/>
      <c r="B104" s="134"/>
      <c r="C104" s="134"/>
      <c r="D104" s="135"/>
      <c r="E104" s="136"/>
      <c r="H104" s="63"/>
      <c r="M104" s="4"/>
      <c r="N104" s="4"/>
      <c r="O104" s="25"/>
      <c r="P104" s="4"/>
      <c r="Q104" s="4"/>
    </row>
    <row r="105" spans="1:17">
      <c r="A105" s="89"/>
      <c r="B105" s="42"/>
      <c r="C105" s="42"/>
      <c r="D105" s="88"/>
      <c r="E105" s="45"/>
      <c r="H105" s="63"/>
      <c r="M105" s="4"/>
      <c r="N105" s="4"/>
      <c r="O105" s="25"/>
      <c r="P105" s="4"/>
      <c r="Q105" s="4"/>
    </row>
    <row r="106" spans="1:17">
      <c r="A106" s="18" t="str">
        <f>+IF($E$1=1,M106,IF($E$1=2,N106,O106))</f>
        <v>Likvidit varat tilikauden alussa</v>
      </c>
      <c r="B106" s="36">
        <f>+D108</f>
        <v>119.601</v>
      </c>
      <c r="C106" s="36">
        <f>+E108</f>
        <v>119.649</v>
      </c>
      <c r="D106" s="36">
        <f>150.966+18.629</f>
        <v>169.595</v>
      </c>
      <c r="E106" s="22">
        <v>169.58699999999999</v>
      </c>
      <c r="H106" s="63"/>
      <c r="M106" s="4" t="s">
        <v>8</v>
      </c>
      <c r="N106" s="4" t="s">
        <v>742</v>
      </c>
      <c r="O106" s="25" t="s">
        <v>9</v>
      </c>
      <c r="P106" s="4"/>
      <c r="Q106" s="4"/>
    </row>
    <row r="107" spans="1:17">
      <c r="A107" s="18" t="str">
        <f>+IF($E$1=1,M107,IF($E$1=2,N107,O107))</f>
        <v>Muuntoerot</v>
      </c>
      <c r="B107" s="40" t="e">
        <f ca="1">(_xll.HPVAL($J$1,$K$1,$K107,$I$1,"m.ctd","wa")/1000)</f>
        <v>#NAME?</v>
      </c>
      <c r="C107" s="36">
        <v>-0.51800000000000002</v>
      </c>
      <c r="D107" s="154">
        <f>3.8-0.016</f>
        <v>3.7839999999999998</v>
      </c>
      <c r="E107" s="22">
        <v>4.7560000000000002</v>
      </c>
      <c r="H107" s="63"/>
      <c r="K107" t="s">
        <v>640</v>
      </c>
      <c r="M107" s="4" t="s">
        <v>375</v>
      </c>
      <c r="N107" s="4" t="s">
        <v>743</v>
      </c>
      <c r="O107" s="25" t="s">
        <v>168</v>
      </c>
      <c r="P107" s="4"/>
      <c r="Q107" s="4"/>
    </row>
    <row r="108" spans="1:17">
      <c r="A108" s="89" t="str">
        <f>+IF($E$1=1,M108,IF($E$1=2,N108,O108))</f>
        <v>Likvidit varat tilikauden lopussa</v>
      </c>
      <c r="B108" s="42" t="e">
        <f ca="1">B46</f>
        <v>#NAME?</v>
      </c>
      <c r="C108" s="42">
        <f>94.661+20.178</f>
        <v>114.839</v>
      </c>
      <c r="D108" s="42">
        <f>D46</f>
        <v>119.601</v>
      </c>
      <c r="E108" s="45">
        <v>119.649</v>
      </c>
      <c r="F108" s="36"/>
      <c r="G108" s="36"/>
      <c r="H108" s="63"/>
      <c r="M108" s="4" t="s">
        <v>10</v>
      </c>
      <c r="N108" s="4" t="s">
        <v>119</v>
      </c>
      <c r="O108" s="25" t="s">
        <v>11</v>
      </c>
      <c r="P108" s="4"/>
      <c r="Q108" s="4"/>
    </row>
    <row r="109" spans="1:17">
      <c r="H109" s="63"/>
    </row>
    <row r="110" spans="1:17">
      <c r="A110" s="44" t="s">
        <v>694</v>
      </c>
      <c r="B110" s="197" t="e">
        <f ca="1">+B106+B107+B103</f>
        <v>#NAME?</v>
      </c>
      <c r="C110" s="197">
        <f>+C106+C107+C103</f>
        <v>114.84700000000007</v>
      </c>
      <c r="D110" s="155">
        <f>+D106+D107+D103</f>
        <v>119.62099999999992</v>
      </c>
      <c r="E110" s="156">
        <f>+E106+E107+E103</f>
        <v>119.617</v>
      </c>
      <c r="H110" s="63"/>
    </row>
    <row r="111" spans="1:17">
      <c r="B111" s="35" t="e">
        <f ca="1">+B110-B108</f>
        <v>#NAME?</v>
      </c>
      <c r="C111" s="35">
        <f>+C110-C108</f>
        <v>8.0000000000666205E-3</v>
      </c>
    </row>
    <row r="112" spans="1:17">
      <c r="B112" s="35"/>
      <c r="C112" s="35"/>
    </row>
    <row r="113" spans="1:38">
      <c r="A113" s="105" t="str">
        <f>+IF($E$1=1,M113,IF($E$1=2,N113,O113))</f>
        <v>Laskelma oman pääoman muutoksista</v>
      </c>
      <c r="B113" s="10"/>
      <c r="C113" s="10"/>
      <c r="D113" s="5"/>
      <c r="E113" s="12"/>
      <c r="F113" s="4"/>
      <c r="G113" s="4"/>
      <c r="H113" s="4"/>
      <c r="I113" s="4"/>
      <c r="J113" s="4"/>
      <c r="K113" s="4"/>
      <c r="L113" s="4"/>
      <c r="M113" s="4" t="s">
        <v>372</v>
      </c>
      <c r="N113" s="4" t="s">
        <v>177</v>
      </c>
      <c r="O113" s="4" t="s">
        <v>176</v>
      </c>
    </row>
    <row r="114" spans="1:38">
      <c r="A114" s="105"/>
      <c r="B114" s="23"/>
      <c r="C114" s="23" t="str">
        <f>+IF($E$1=1,N114,IF($E$1=2,O114,P114))</f>
        <v>Emoyhtiön omistajille kuuluva oma pääoma</v>
      </c>
      <c r="E114" s="59"/>
      <c r="F114" s="102"/>
      <c r="G114" s="25"/>
      <c r="H114" s="15" t="str">
        <f>+IF($E$1=1,T114,IF($E$1=2,AB114,AJ114))</f>
        <v>Vähemmistö-</v>
      </c>
      <c r="I114" s="15" t="str">
        <f>+IF($E$1=1,U114,IF($E$1=2,AC114,AK114))</f>
        <v>Oma pääoma</v>
      </c>
      <c r="J114" s="15"/>
      <c r="K114" s="15"/>
      <c r="L114" s="15"/>
      <c r="N114" s="25" t="s">
        <v>776</v>
      </c>
      <c r="O114" s="25" t="s">
        <v>829</v>
      </c>
      <c r="P114" s="25" t="s">
        <v>468</v>
      </c>
      <c r="Q114" s="51"/>
      <c r="R114" s="51"/>
      <c r="S114" s="25"/>
      <c r="T114" s="25" t="s">
        <v>469</v>
      </c>
      <c r="U114" s="25" t="s">
        <v>23</v>
      </c>
      <c r="V114" s="25"/>
      <c r="W114" s="25"/>
      <c r="X114" s="25"/>
      <c r="Y114" s="25"/>
      <c r="Z114" s="25"/>
      <c r="AB114" s="25" t="s">
        <v>470</v>
      </c>
      <c r="AC114" s="25" t="s">
        <v>670</v>
      </c>
      <c r="AD114" s="25"/>
      <c r="AE114" s="25"/>
      <c r="AF114" s="25"/>
      <c r="AG114" s="25"/>
      <c r="AH114" s="25"/>
      <c r="AI114" s="25"/>
      <c r="AJ114" s="25" t="s">
        <v>471</v>
      </c>
      <c r="AK114" s="25" t="s">
        <v>25</v>
      </c>
    </row>
    <row r="115" spans="1:38">
      <c r="A115" s="88"/>
      <c r="B115" s="104"/>
      <c r="C115" s="104"/>
      <c r="D115" s="104"/>
      <c r="E115" s="104"/>
      <c r="F115" s="88"/>
      <c r="G115" s="104"/>
      <c r="H115" s="104" t="str">
        <f>+IF($E$1=1,T115,IF($E$1=2,AB115,AJ115))</f>
        <v>osuus</v>
      </c>
      <c r="I115" s="104" t="str">
        <f>+IF($E$1=1,U115,IF($E$1=2,AC115,AK115))</f>
        <v>yhteensä</v>
      </c>
      <c r="J115" s="15"/>
      <c r="K115" s="15"/>
      <c r="L115" s="15"/>
      <c r="M115" s="2" t="s">
        <v>740</v>
      </c>
      <c r="N115" s="2" t="s">
        <v>740</v>
      </c>
      <c r="O115" s="2" t="s">
        <v>740</v>
      </c>
      <c r="P115" s="25"/>
      <c r="R115" s="51"/>
      <c r="S115" s="25"/>
      <c r="T115" s="25" t="s">
        <v>423</v>
      </c>
      <c r="U115" s="25" t="s">
        <v>472</v>
      </c>
      <c r="V115" s="25"/>
      <c r="W115" s="25"/>
      <c r="X115" s="25"/>
      <c r="Z115" s="25"/>
      <c r="AB115" s="25" t="s">
        <v>744</v>
      </c>
      <c r="AC115" s="25" t="s">
        <v>474</v>
      </c>
      <c r="AD115" s="25"/>
      <c r="AE115" s="25"/>
      <c r="AF115" s="25"/>
      <c r="AH115" s="25"/>
      <c r="AI115" s="25"/>
      <c r="AJ115" s="25" t="s">
        <v>476</v>
      </c>
      <c r="AK115" s="25" t="s">
        <v>477</v>
      </c>
    </row>
    <row r="116" spans="1:38">
      <c r="A116" s="10"/>
      <c r="F116" s="15" t="str">
        <f>+IF($E$1=1,Q116,IF($E$1=2,Y116,AG116))</f>
        <v>Arvon-</v>
      </c>
      <c r="Q116" s="25" t="s">
        <v>695</v>
      </c>
      <c r="Y116" s="25" t="s">
        <v>473</v>
      </c>
      <c r="AG116" s="25" t="s">
        <v>475</v>
      </c>
    </row>
    <row r="117" spans="1:38">
      <c r="A117" s="10"/>
      <c r="B117" s="15" t="str">
        <f>+IF($E$1=1,N117,IF($E$1=2,V117,AD117))</f>
        <v>Osake-</v>
      </c>
      <c r="C117" s="15" t="str">
        <f t="shared" ref="C117:E118" si="5">+IF($E$1=1,N117,IF($E$1=2,V117,AD117))</f>
        <v>Osake-</v>
      </c>
      <c r="D117" s="15" t="str">
        <f t="shared" si="5"/>
        <v>Ylikurssi</v>
      </c>
      <c r="E117" s="15" t="str">
        <f t="shared" si="5"/>
        <v>Muunto-</v>
      </c>
      <c r="F117" s="15" t="str">
        <f>+IF($E$1=1,Q117,IF($E$1=2,Y117,AG117))</f>
        <v>muutos-</v>
      </c>
      <c r="G117" s="15" t="str">
        <f>+IF($E$1=1,R117,IF($E$1=2,Z117,AH117))</f>
        <v>Kertyneet</v>
      </c>
      <c r="H117" s="15"/>
      <c r="I117" s="15"/>
      <c r="J117" s="15"/>
      <c r="K117" s="15"/>
      <c r="L117" s="15"/>
      <c r="M117" s="103"/>
      <c r="N117" s="25" t="s">
        <v>478</v>
      </c>
      <c r="O117" s="25" t="s">
        <v>479</v>
      </c>
      <c r="P117" s="25" t="s">
        <v>702</v>
      </c>
      <c r="Q117" s="25" t="s">
        <v>696</v>
      </c>
      <c r="R117" s="25" t="s">
        <v>266</v>
      </c>
      <c r="S117" s="25"/>
      <c r="T117" s="25"/>
      <c r="U117" s="25"/>
      <c r="V117" s="25" t="s">
        <v>480</v>
      </c>
      <c r="W117" s="25" t="s">
        <v>481</v>
      </c>
      <c r="X117" s="25" t="s">
        <v>482</v>
      </c>
      <c r="Y117" s="25" t="s">
        <v>483</v>
      </c>
      <c r="Z117" s="25" t="s">
        <v>484</v>
      </c>
      <c r="AA117" s="25"/>
      <c r="AB117" s="25"/>
      <c r="AC117" s="25"/>
      <c r="AD117" s="25" t="s">
        <v>485</v>
      </c>
      <c r="AE117" s="25" t="s">
        <v>486</v>
      </c>
      <c r="AF117" s="25" t="s">
        <v>487</v>
      </c>
      <c r="AG117" s="25" t="s">
        <v>488</v>
      </c>
      <c r="AH117" s="25" t="s">
        <v>489</v>
      </c>
      <c r="AI117" s="25"/>
      <c r="AJ117" s="25"/>
      <c r="AK117" s="25"/>
    </row>
    <row r="118" spans="1:38">
      <c r="A118" s="91" t="str">
        <f>+IF($E$1=1,M115,IF($E$1=2,N115,O115))</f>
        <v>MEUR</v>
      </c>
      <c r="B118" s="104" t="str">
        <f>+IF($E$1=1,N118,IF($E$1=2,V118,AD118))</f>
        <v>pääoma</v>
      </c>
      <c r="C118" s="104" t="str">
        <f t="shared" si="5"/>
        <v>pääoma</v>
      </c>
      <c r="D118" s="104" t="str">
        <f t="shared" si="5"/>
        <v>rahasto</v>
      </c>
      <c r="E118" s="104" t="str">
        <f t="shared" si="5"/>
        <v>erot</v>
      </c>
      <c r="F118" s="104" t="str">
        <f>+IF($E$1=1,Q118,IF($E$1=2,Y118,AG118))</f>
        <v>rahasto</v>
      </c>
      <c r="G118" s="104" t="str">
        <f>+IF($E$1=1,R118,IF($E$1=2,Z118,AH118))</f>
        <v>voittovarat</v>
      </c>
      <c r="H118" s="88"/>
      <c r="I118" s="88"/>
      <c r="J118" s="50"/>
      <c r="K118" s="50"/>
      <c r="L118" s="50"/>
      <c r="M118" s="103"/>
      <c r="N118" s="25" t="s">
        <v>700</v>
      </c>
      <c r="O118" s="25" t="s">
        <v>701</v>
      </c>
      <c r="P118" s="25" t="s">
        <v>703</v>
      </c>
      <c r="Q118" s="25" t="s">
        <v>701</v>
      </c>
      <c r="R118" s="25" t="s">
        <v>267</v>
      </c>
      <c r="S118" s="25" t="s">
        <v>620</v>
      </c>
      <c r="T118" s="25"/>
      <c r="U118" s="25"/>
      <c r="V118" s="25" t="s">
        <v>490</v>
      </c>
      <c r="W118" s="25" t="s">
        <v>491</v>
      </c>
      <c r="X118" s="25" t="s">
        <v>492</v>
      </c>
      <c r="Y118" s="25" t="s">
        <v>493</v>
      </c>
      <c r="Z118" s="25" t="s">
        <v>110</v>
      </c>
      <c r="AA118" s="25" t="s">
        <v>670</v>
      </c>
      <c r="AB118" s="25"/>
      <c r="AC118" s="25"/>
      <c r="AD118" s="25" t="s">
        <v>111</v>
      </c>
      <c r="AE118" s="25" t="s">
        <v>112</v>
      </c>
      <c r="AF118" s="25" t="s">
        <v>113</v>
      </c>
      <c r="AG118" s="25" t="s">
        <v>114</v>
      </c>
      <c r="AH118" s="25" t="s">
        <v>115</v>
      </c>
      <c r="AI118" s="25" t="s">
        <v>262</v>
      </c>
      <c r="AJ118" s="25"/>
      <c r="AK118" s="25"/>
    </row>
    <row r="119" spans="1:38">
      <c r="A119" s="39"/>
      <c r="B119" s="15"/>
      <c r="C119" s="15"/>
      <c r="D119" s="15"/>
      <c r="E119" s="15"/>
      <c r="F119" s="15"/>
      <c r="G119" s="15"/>
      <c r="H119" s="15"/>
      <c r="I119" s="50"/>
      <c r="J119" s="50"/>
      <c r="K119" s="50"/>
      <c r="L119" s="50"/>
      <c r="N119" s="103"/>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row>
    <row r="120" spans="1:38">
      <c r="A120" s="10" t="str">
        <f>+IF($E$1=1,M120,IF($E$1=2,N120,O120))</f>
        <v>Oma pääoma 31.12.2004</v>
      </c>
      <c r="B120" s="5">
        <v>323.92700000000002</v>
      </c>
      <c r="C120" s="5">
        <v>323.92700000000002</v>
      </c>
      <c r="D120" s="5">
        <v>27.334</v>
      </c>
      <c r="E120" s="5">
        <v>-1.0229999999999999</v>
      </c>
      <c r="F120" s="22"/>
      <c r="G120" s="5">
        <v>542.47199999999998</v>
      </c>
      <c r="H120" s="22">
        <v>7.83</v>
      </c>
      <c r="I120" s="37">
        <f>SUM(C120:H120)</f>
        <v>900.54000000000008</v>
      </c>
      <c r="J120" s="37"/>
      <c r="K120" s="37"/>
      <c r="L120" s="37"/>
      <c r="M120" s="4" t="s">
        <v>746</v>
      </c>
      <c r="N120" s="4" t="s">
        <v>745</v>
      </c>
      <c r="O120" s="4" t="s">
        <v>424</v>
      </c>
    </row>
    <row r="121" spans="1:38">
      <c r="A121" s="10"/>
      <c r="B121" s="5"/>
      <c r="C121" s="5"/>
      <c r="D121" s="5"/>
      <c r="E121" s="5"/>
      <c r="F121" s="22"/>
      <c r="G121" s="5"/>
      <c r="H121" s="22"/>
      <c r="I121" s="37"/>
      <c r="J121" s="37"/>
      <c r="K121" s="37"/>
      <c r="L121" s="37"/>
      <c r="M121" s="4"/>
      <c r="N121" s="4"/>
      <c r="O121" s="4"/>
    </row>
    <row r="122" spans="1:38">
      <c r="A122" s="6" t="str">
        <f t="shared" ref="A122:A134" si="6">+IF($E$1=1,M122,IF($E$1=2,N122,O122))</f>
        <v>IAS 39:n soveltaminen 1.1.2005</v>
      </c>
      <c r="B122" s="72"/>
      <c r="C122" s="72"/>
      <c r="D122" s="8"/>
      <c r="E122" s="8"/>
      <c r="F122" s="8">
        <v>184.172</v>
      </c>
      <c r="G122" s="8"/>
      <c r="H122" s="8"/>
      <c r="I122" s="37">
        <f>SUM(C122:H122)</f>
        <v>184.172</v>
      </c>
      <c r="J122" s="37"/>
      <c r="K122" s="37"/>
      <c r="L122" s="37"/>
      <c r="M122" s="4" t="s">
        <v>447</v>
      </c>
      <c r="N122" s="4" t="s">
        <v>120</v>
      </c>
      <c r="O122" s="4" t="s">
        <v>446</v>
      </c>
    </row>
    <row r="123" spans="1:38">
      <c r="A123" s="6" t="str">
        <f t="shared" si="6"/>
        <v>Muuntoerot</v>
      </c>
      <c r="B123" s="5"/>
      <c r="C123" s="5"/>
      <c r="D123" s="5"/>
      <c r="E123" s="5">
        <v>8.0169999999999995</v>
      </c>
      <c r="F123" s="22"/>
      <c r="G123" s="5"/>
      <c r="H123" s="22">
        <v>1.1579999999999999</v>
      </c>
      <c r="I123" s="37">
        <f>SUM(C123:H123)</f>
        <v>9.1749999999999989</v>
      </c>
      <c r="J123" s="37"/>
      <c r="K123" s="37"/>
      <c r="L123" s="37"/>
      <c r="M123" s="4" t="s">
        <v>375</v>
      </c>
      <c r="N123" s="4" t="s">
        <v>374</v>
      </c>
      <c r="O123" s="4" t="s">
        <v>373</v>
      </c>
    </row>
    <row r="124" spans="1:38">
      <c r="A124" s="6" t="str">
        <f t="shared" si="6"/>
        <v>Muut muutokset</v>
      </c>
      <c r="B124" s="5"/>
      <c r="C124" s="5"/>
      <c r="D124" s="5"/>
      <c r="E124" s="5"/>
      <c r="F124" s="22"/>
      <c r="G124" s="5">
        <v>-0.32900000000000001</v>
      </c>
      <c r="H124" s="22"/>
      <c r="I124" s="37">
        <f>SUM(C124:H124)</f>
        <v>-0.32900000000000001</v>
      </c>
      <c r="J124" s="37"/>
      <c r="K124" s="37"/>
      <c r="L124" s="37"/>
      <c r="M124" s="4" t="s">
        <v>698</v>
      </c>
      <c r="N124" s="4" t="s">
        <v>669</v>
      </c>
      <c r="O124" s="4" t="s">
        <v>699</v>
      </c>
    </row>
    <row r="125" spans="1:38">
      <c r="A125" s="6" t="str">
        <f t="shared" si="6"/>
        <v>Myytävissä olevien sijoitusten</v>
      </c>
      <c r="B125" s="5"/>
      <c r="C125" s="5"/>
      <c r="D125" s="5"/>
      <c r="E125" s="5"/>
      <c r="F125" s="22"/>
      <c r="G125" s="5"/>
      <c r="H125" s="22"/>
      <c r="I125" s="37"/>
      <c r="J125" s="37"/>
      <c r="K125" s="37"/>
      <c r="L125" s="37"/>
      <c r="M125" s="4" t="s">
        <v>448</v>
      </c>
      <c r="N125" s="4" t="s">
        <v>449</v>
      </c>
      <c r="O125" s="4" t="s">
        <v>450</v>
      </c>
    </row>
    <row r="126" spans="1:38">
      <c r="A126" s="6" t="str">
        <f t="shared" si="6"/>
        <v xml:space="preserve">   arvonmuutokset verojen jälkeen</v>
      </c>
      <c r="B126" s="5"/>
      <c r="C126" s="5"/>
      <c r="D126" s="5"/>
      <c r="E126" s="5"/>
      <c r="F126" s="22">
        <v>15.749000000000001</v>
      </c>
      <c r="G126" s="5"/>
      <c r="H126" s="22"/>
      <c r="I126" s="37">
        <f t="shared" ref="I126:I131" si="7">SUM(C126:H126)</f>
        <v>15.749000000000001</v>
      </c>
      <c r="J126" s="37"/>
      <c r="K126" s="37"/>
      <c r="L126" s="37"/>
      <c r="M126" s="4" t="s">
        <v>451</v>
      </c>
      <c r="N126" s="4" t="s">
        <v>747</v>
      </c>
      <c r="O126" s="4" t="s">
        <v>169</v>
      </c>
    </row>
    <row r="127" spans="1:38">
      <c r="A127" s="6" t="str">
        <f t="shared" si="6"/>
        <v xml:space="preserve">   siirretty tuloslaskelmaan, veroilla vähennettynä</v>
      </c>
      <c r="B127" s="5"/>
      <c r="C127" s="5"/>
      <c r="D127" s="5"/>
      <c r="E127" s="5"/>
      <c r="F127" s="22">
        <v>-0.14699999999999999</v>
      </c>
      <c r="G127" s="5"/>
      <c r="H127" s="22"/>
      <c r="I127" s="37">
        <f t="shared" si="7"/>
        <v>-0.14699999999999999</v>
      </c>
      <c r="J127" s="37"/>
      <c r="K127" s="37"/>
      <c r="L127" s="37"/>
      <c r="M127" s="4" t="s">
        <v>452</v>
      </c>
      <c r="N127" s="4" t="s">
        <v>748</v>
      </c>
      <c r="O127" s="4" t="s">
        <v>453</v>
      </c>
    </row>
    <row r="128" spans="1:38">
      <c r="A128" s="85" t="str">
        <f t="shared" si="6"/>
        <v>Rahavirran suojaukset verojen jälkeen</v>
      </c>
      <c r="B128" s="106"/>
      <c r="C128" s="106"/>
      <c r="D128" s="106"/>
      <c r="E128" s="106"/>
      <c r="F128" s="106">
        <v>-52.845999999999997</v>
      </c>
      <c r="G128" s="106"/>
      <c r="H128" s="106"/>
      <c r="I128" s="94">
        <f t="shared" si="7"/>
        <v>-52.845999999999997</v>
      </c>
      <c r="J128" s="163"/>
      <c r="K128" s="163"/>
      <c r="L128" s="163"/>
      <c r="M128" s="4" t="s">
        <v>71</v>
      </c>
      <c r="N128" s="4" t="s">
        <v>239</v>
      </c>
      <c r="O128" s="4" t="s">
        <v>72</v>
      </c>
    </row>
    <row r="129" spans="1:15">
      <c r="A129" s="10" t="str">
        <f t="shared" si="6"/>
        <v>Suoraan omaan pääomaan kirjatut nettotuotot</v>
      </c>
      <c r="B129" s="5"/>
      <c r="C129" s="5"/>
      <c r="D129" s="5"/>
      <c r="E129" s="5">
        <f>SUM(E122:E128)</f>
        <v>8.0169999999999995</v>
      </c>
      <c r="F129" s="5">
        <f>SUM(F122:F128)</f>
        <v>146.928</v>
      </c>
      <c r="G129" s="5">
        <f>SUM(G122:G128)</f>
        <v>-0.32900000000000001</v>
      </c>
      <c r="H129" s="5">
        <f>SUM(H122:H128)</f>
        <v>1.1579999999999999</v>
      </c>
      <c r="I129" s="37">
        <f t="shared" si="7"/>
        <v>155.77399999999997</v>
      </c>
      <c r="J129" s="37"/>
      <c r="K129" s="37"/>
      <c r="L129" s="37"/>
      <c r="M129" s="4" t="s">
        <v>459</v>
      </c>
      <c r="N129" s="4" t="s">
        <v>504</v>
      </c>
      <c r="O129" s="4" t="s">
        <v>505</v>
      </c>
    </row>
    <row r="130" spans="1:15">
      <c r="A130" s="85" t="str">
        <f t="shared" si="6"/>
        <v>Tilikauden tulos</v>
      </c>
      <c r="B130" s="106"/>
      <c r="C130" s="106"/>
      <c r="D130" s="106"/>
      <c r="E130" s="106"/>
      <c r="F130" s="106"/>
      <c r="G130" s="106">
        <v>166.982</v>
      </c>
      <c r="H130" s="106">
        <v>1.417</v>
      </c>
      <c r="I130" s="94">
        <f t="shared" si="7"/>
        <v>168.399</v>
      </c>
      <c r="J130" s="163"/>
      <c r="K130" s="163"/>
      <c r="L130" s="163"/>
      <c r="M130" s="4" t="s">
        <v>617</v>
      </c>
      <c r="N130" s="4" t="s">
        <v>506</v>
      </c>
      <c r="O130" s="4" t="s">
        <v>541</v>
      </c>
    </row>
    <row r="131" spans="1:15">
      <c r="A131" s="10" t="str">
        <f t="shared" si="6"/>
        <v>Kaudelle kirjatut tuotot ja kulut yhteensä</v>
      </c>
      <c r="B131" s="5"/>
      <c r="C131" s="5"/>
      <c r="D131" s="5"/>
      <c r="E131" s="5">
        <f>SUM(E129:E130)</f>
        <v>8.0169999999999995</v>
      </c>
      <c r="F131" s="5">
        <f>SUM(F129:F130)</f>
        <v>146.928</v>
      </c>
      <c r="G131" s="5">
        <f>SUM(G129:G130)</f>
        <v>166.65299999999999</v>
      </c>
      <c r="H131" s="5">
        <f>SUM(H129:H130)</f>
        <v>2.5750000000000002</v>
      </c>
      <c r="I131" s="37">
        <f t="shared" si="7"/>
        <v>324.17299999999994</v>
      </c>
      <c r="J131" s="37"/>
      <c r="K131" s="37"/>
      <c r="L131" s="37"/>
      <c r="M131" s="4" t="s">
        <v>885</v>
      </c>
      <c r="N131" s="4" t="s">
        <v>121</v>
      </c>
      <c r="O131" s="4" t="s">
        <v>578</v>
      </c>
    </row>
    <row r="132" spans="1:15">
      <c r="A132" s="6" t="str">
        <f t="shared" si="6"/>
        <v>Osakepääoman korotus optioiden käytön johdosta</v>
      </c>
      <c r="B132" s="5">
        <v>5.4480000000000004</v>
      </c>
      <c r="C132" s="5">
        <v>5.4480000000000004</v>
      </c>
      <c r="D132" s="5">
        <v>16.687000000000001</v>
      </c>
      <c r="E132" s="5"/>
      <c r="F132" s="22"/>
      <c r="G132" s="5"/>
      <c r="H132" s="22"/>
      <c r="I132" s="37">
        <f>SUM(C132:G132)</f>
        <v>22.135000000000002</v>
      </c>
      <c r="J132" s="37"/>
      <c r="K132" s="37"/>
      <c r="L132" s="37"/>
      <c r="M132" s="4" t="s">
        <v>579</v>
      </c>
      <c r="N132" s="4" t="s">
        <v>580</v>
      </c>
      <c r="O132" s="4" t="s">
        <v>581</v>
      </c>
    </row>
    <row r="133" spans="1:15">
      <c r="A133" s="85" t="str">
        <f t="shared" si="6"/>
        <v>Maksetut osingot</v>
      </c>
      <c r="B133" s="106"/>
      <c r="C133" s="106"/>
      <c r="D133" s="106"/>
      <c r="E133" s="106"/>
      <c r="F133" s="106"/>
      <c r="G133" s="106">
        <v>-83.296000000000006</v>
      </c>
      <c r="H133" s="106">
        <v>-0.59499999999999997</v>
      </c>
      <c r="I133" s="94">
        <f>SUM(C133:H133)</f>
        <v>-83.891000000000005</v>
      </c>
      <c r="J133" s="163"/>
      <c r="K133" s="163"/>
      <c r="L133" s="163"/>
      <c r="M133" s="4" t="s">
        <v>376</v>
      </c>
      <c r="N133" s="4" t="s">
        <v>178</v>
      </c>
      <c r="O133" s="4" t="s">
        <v>625</v>
      </c>
    </row>
    <row r="134" spans="1:15">
      <c r="A134" s="10" t="str">
        <f t="shared" si="6"/>
        <v>Oma pääoma  31.12.2005</v>
      </c>
      <c r="B134" s="5">
        <f t="shared" ref="B134:I134" si="8">SUM(B132:B133)+B131+B120</f>
        <v>329.375</v>
      </c>
      <c r="C134" s="5">
        <f t="shared" si="8"/>
        <v>329.375</v>
      </c>
      <c r="D134" s="5">
        <f t="shared" si="8"/>
        <v>44.021000000000001</v>
      </c>
      <c r="E134" s="5">
        <f t="shared" si="8"/>
        <v>6.9939999999999998</v>
      </c>
      <c r="F134" s="5">
        <f t="shared" si="8"/>
        <v>146.928</v>
      </c>
      <c r="G134" s="5">
        <f t="shared" si="8"/>
        <v>625.82899999999995</v>
      </c>
      <c r="H134" s="5">
        <f t="shared" si="8"/>
        <v>9.81</v>
      </c>
      <c r="I134" s="37">
        <f t="shared" si="8"/>
        <v>1162.9569999999999</v>
      </c>
      <c r="J134" s="37"/>
      <c r="K134" s="37"/>
      <c r="L134" s="37"/>
      <c r="M134" s="4" t="s">
        <v>582</v>
      </c>
      <c r="N134" s="4" t="s">
        <v>584</v>
      </c>
      <c r="O134" s="4" t="s">
        <v>583</v>
      </c>
    </row>
    <row r="135" spans="1:15">
      <c r="A135" s="10"/>
      <c r="B135" s="16"/>
      <c r="C135" s="16"/>
      <c r="D135" s="16"/>
      <c r="E135" s="16"/>
      <c r="F135" s="3"/>
      <c r="G135" s="16"/>
      <c r="H135" s="3"/>
      <c r="I135" s="37"/>
      <c r="J135" s="37"/>
      <c r="K135" s="37"/>
      <c r="L135" s="37"/>
      <c r="M135" s="4"/>
      <c r="N135" s="4"/>
      <c r="O135" s="4"/>
    </row>
    <row r="136" spans="1:15">
      <c r="A136" s="6" t="str">
        <f t="shared" ref="A136:A147" si="9">+IF($E$1=1,M136,IF($E$1=2,N136,O136))</f>
        <v>Muuntoerot</v>
      </c>
      <c r="B136" s="8"/>
      <c r="C136" s="8"/>
      <c r="D136" s="8"/>
      <c r="E136" s="201">
        <f>-2.404-0.365+0.092+2.743+0.687+0.002</f>
        <v>0.75499999999999989</v>
      </c>
      <c r="F136" s="199"/>
      <c r="G136" s="199"/>
      <c r="H136" s="201">
        <f>-0.18-0.015</f>
        <v>-0.19500000000000001</v>
      </c>
      <c r="I136" s="81">
        <f>SUM(C136:H136)</f>
        <v>0.55999999999999983</v>
      </c>
      <c r="J136" s="81"/>
      <c r="K136" s="81"/>
      <c r="L136" s="81"/>
      <c r="M136" s="4" t="s">
        <v>375</v>
      </c>
      <c r="N136" s="4" t="s">
        <v>374</v>
      </c>
      <c r="O136" s="4" t="s">
        <v>373</v>
      </c>
    </row>
    <row r="137" spans="1:15">
      <c r="A137" s="6" t="str">
        <f t="shared" si="9"/>
        <v>Muut muutokset</v>
      </c>
      <c r="B137" s="8"/>
      <c r="C137" s="8"/>
      <c r="D137" s="8"/>
      <c r="E137" s="8"/>
      <c r="F137" s="200"/>
      <c r="G137" s="8"/>
      <c r="H137" s="200"/>
      <c r="I137" s="81">
        <f>SUM(C137:H137)</f>
        <v>0</v>
      </c>
      <c r="J137" s="81"/>
      <c r="K137" s="81"/>
      <c r="L137" s="81"/>
      <c r="M137" s="4" t="s">
        <v>698</v>
      </c>
      <c r="N137" s="4" t="s">
        <v>669</v>
      </c>
      <c r="O137" s="4" t="s">
        <v>699</v>
      </c>
    </row>
    <row r="138" spans="1:15">
      <c r="A138" s="6" t="str">
        <f t="shared" si="9"/>
        <v>Myytävissä olevien sijoitusten</v>
      </c>
      <c r="B138" s="8"/>
      <c r="C138" s="8"/>
      <c r="D138" s="8"/>
      <c r="E138" s="8"/>
      <c r="F138" s="200"/>
      <c r="G138" s="8"/>
      <c r="H138" s="200"/>
      <c r="I138" s="81"/>
      <c r="J138" s="81"/>
      <c r="K138" s="81"/>
      <c r="L138" s="81"/>
      <c r="M138" s="4" t="s">
        <v>448</v>
      </c>
      <c r="N138" s="4" t="s">
        <v>449</v>
      </c>
      <c r="O138" s="4" t="s">
        <v>450</v>
      </c>
    </row>
    <row r="139" spans="1:15">
      <c r="A139" s="6" t="str">
        <f t="shared" si="9"/>
        <v xml:space="preserve">   arvonmuutokset verojen jälkeen</v>
      </c>
      <c r="B139" s="8"/>
      <c r="C139" s="8"/>
      <c r="D139" s="8"/>
      <c r="E139" s="8"/>
      <c r="F139" s="202">
        <v>29.408000000000001</v>
      </c>
      <c r="G139" s="8"/>
      <c r="H139" s="200"/>
      <c r="I139" s="81">
        <f t="shared" ref="I139:I144" si="10">SUM(C139:H139)</f>
        <v>29.408000000000001</v>
      </c>
      <c r="J139" s="81"/>
      <c r="K139" s="81"/>
      <c r="L139" s="81"/>
      <c r="M139" s="4" t="s">
        <v>451</v>
      </c>
      <c r="N139" s="4" t="s">
        <v>691</v>
      </c>
      <c r="O139" s="4" t="s">
        <v>169</v>
      </c>
    </row>
    <row r="140" spans="1:15">
      <c r="A140" s="6" t="str">
        <f t="shared" si="9"/>
        <v xml:space="preserve">   siirretty tuloslaskelmaan, veroilla vähennettynä</v>
      </c>
      <c r="B140" s="8"/>
      <c r="C140" s="8"/>
      <c r="D140" s="8"/>
      <c r="E140" s="8"/>
      <c r="F140" s="200"/>
      <c r="G140" s="8"/>
      <c r="H140" s="200"/>
      <c r="I140" s="81">
        <f t="shared" si="10"/>
        <v>0</v>
      </c>
      <c r="J140" s="81"/>
      <c r="K140" s="81"/>
      <c r="L140" s="81"/>
      <c r="M140" s="4" t="s">
        <v>452</v>
      </c>
      <c r="N140" s="4" t="s">
        <v>748</v>
      </c>
      <c r="O140" s="4" t="s">
        <v>453</v>
      </c>
    </row>
    <row r="141" spans="1:15">
      <c r="A141" s="85" t="str">
        <f t="shared" si="9"/>
        <v>Rahavirran suojaukset verojen jälkeen</v>
      </c>
      <c r="B141" s="106"/>
      <c r="C141" s="106"/>
      <c r="D141" s="106"/>
      <c r="E141" s="106"/>
      <c r="F141" s="203">
        <v>10</v>
      </c>
      <c r="G141" s="106"/>
      <c r="H141" s="106"/>
      <c r="I141" s="94">
        <f t="shared" si="10"/>
        <v>10</v>
      </c>
      <c r="J141" s="163"/>
      <c r="K141" s="163"/>
      <c r="L141" s="163"/>
      <c r="M141" s="4" t="s">
        <v>71</v>
      </c>
      <c r="N141" s="4" t="s">
        <v>239</v>
      </c>
      <c r="O141" s="4" t="s">
        <v>72</v>
      </c>
    </row>
    <row r="142" spans="1:15">
      <c r="A142" s="10" t="str">
        <f t="shared" si="9"/>
        <v>Suoraan omaan pääomaan kirjatut nettotuotot</v>
      </c>
      <c r="B142" s="8"/>
      <c r="C142" s="8"/>
      <c r="D142" s="8"/>
      <c r="E142" s="8">
        <f>SUM(E136:E141)</f>
        <v>0.75499999999999989</v>
      </c>
      <c r="F142" s="8">
        <f>SUM(F136:F141)</f>
        <v>39.408000000000001</v>
      </c>
      <c r="G142" s="8">
        <f>SUM(G136:G141)</f>
        <v>0</v>
      </c>
      <c r="H142" s="8">
        <f>SUM(H136:H141)</f>
        <v>-0.19500000000000001</v>
      </c>
      <c r="I142" s="81">
        <f t="shared" si="10"/>
        <v>39.968000000000004</v>
      </c>
      <c r="J142" s="81"/>
      <c r="K142" s="81"/>
      <c r="L142" s="81"/>
      <c r="M142" s="4" t="s">
        <v>459</v>
      </c>
      <c r="N142" s="4" t="s">
        <v>504</v>
      </c>
      <c r="O142" s="4" t="s">
        <v>505</v>
      </c>
    </row>
    <row r="143" spans="1:15">
      <c r="A143" s="85" t="str">
        <f t="shared" si="9"/>
        <v>Tilikauden tulos</v>
      </c>
      <c r="B143" s="106"/>
      <c r="C143" s="106"/>
      <c r="D143" s="106"/>
      <c r="E143" s="106"/>
      <c r="F143" s="106"/>
      <c r="G143" s="106">
        <f>C23</f>
        <v>52.17</v>
      </c>
      <c r="H143" s="106">
        <f>C24</f>
        <v>-1.7000000000000001E-2</v>
      </c>
      <c r="I143" s="94">
        <f t="shared" si="10"/>
        <v>52.152999999999999</v>
      </c>
      <c r="J143" s="163"/>
      <c r="K143" s="163"/>
      <c r="L143" s="163"/>
      <c r="M143" s="4" t="s">
        <v>617</v>
      </c>
      <c r="N143" s="4" t="s">
        <v>506</v>
      </c>
      <c r="O143" s="4" t="s">
        <v>541</v>
      </c>
    </row>
    <row r="144" spans="1:15">
      <c r="A144" s="10" t="str">
        <f t="shared" si="9"/>
        <v>Kaudelle kirjatut tuotot ja kulut yhteensä</v>
      </c>
      <c r="B144" s="8"/>
      <c r="C144" s="8"/>
      <c r="D144" s="8"/>
      <c r="E144" s="8">
        <f>SUM(E142:E143)</f>
        <v>0.75499999999999989</v>
      </c>
      <c r="F144" s="8">
        <f>SUM(F142:F143)</f>
        <v>39.408000000000001</v>
      </c>
      <c r="G144" s="8">
        <f>SUM(G142:G143)</f>
        <v>52.17</v>
      </c>
      <c r="H144" s="8">
        <f>SUM(H142:H143)</f>
        <v>-0.21200000000000002</v>
      </c>
      <c r="I144" s="81">
        <f t="shared" si="10"/>
        <v>92.120999999999995</v>
      </c>
      <c r="J144" s="81"/>
      <c r="K144" s="81"/>
      <c r="L144" s="81"/>
      <c r="M144" s="4" t="s">
        <v>885</v>
      </c>
      <c r="N144" s="4" t="s">
        <v>577</v>
      </c>
      <c r="O144" s="4" t="s">
        <v>578</v>
      </c>
    </row>
    <row r="145" spans="1:33">
      <c r="A145" s="6" t="str">
        <f t="shared" si="9"/>
        <v>Käytetyt optio-oikeudet</v>
      </c>
      <c r="B145" s="204">
        <v>3.6999999999999998E-2</v>
      </c>
      <c r="C145" s="204">
        <v>3.6999999999999998E-2</v>
      </c>
      <c r="D145" s="204">
        <v>0.129</v>
      </c>
      <c r="E145" s="24"/>
      <c r="F145" s="157"/>
      <c r="G145" s="24"/>
      <c r="H145" s="74"/>
      <c r="I145" s="81">
        <f>SUM(C145:G145)</f>
        <v>0.16600000000000001</v>
      </c>
      <c r="J145" s="81"/>
      <c r="K145" s="81"/>
      <c r="L145" s="81"/>
      <c r="M145" s="4" t="s">
        <v>591</v>
      </c>
      <c r="N145" s="4" t="s">
        <v>580</v>
      </c>
      <c r="O145" s="4" t="s">
        <v>581</v>
      </c>
    </row>
    <row r="146" spans="1:33">
      <c r="A146" s="85" t="str">
        <f t="shared" si="9"/>
        <v>Maksetut osingot</v>
      </c>
      <c r="B146" s="158"/>
      <c r="C146" s="158"/>
      <c r="D146" s="158"/>
      <c r="E146" s="158"/>
      <c r="F146" s="158"/>
      <c r="G146" s="203">
        <v>-141.161</v>
      </c>
      <c r="H146" s="106"/>
      <c r="I146" s="94">
        <f>SUM(C146:H146)</f>
        <v>-141.161</v>
      </c>
      <c r="J146" s="163"/>
      <c r="K146" s="163"/>
      <c r="L146" s="163"/>
      <c r="M146" s="4" t="s">
        <v>376</v>
      </c>
      <c r="N146" s="4" t="s">
        <v>178</v>
      </c>
      <c r="O146" s="4" t="s">
        <v>625</v>
      </c>
    </row>
    <row r="147" spans="1:33">
      <c r="A147" s="86" t="str">
        <f t="shared" si="9"/>
        <v>Oma pääoma 30.06.2006</v>
      </c>
      <c r="B147" s="122">
        <f t="shared" ref="B147:I147" si="11">SUM(B145:B146)+B144+B134</f>
        <v>329.41199999999998</v>
      </c>
      <c r="C147" s="122">
        <f t="shared" si="11"/>
        <v>329.41199999999998</v>
      </c>
      <c r="D147" s="122">
        <f t="shared" si="11"/>
        <v>44.15</v>
      </c>
      <c r="E147" s="122">
        <f t="shared" si="11"/>
        <v>7.7489999999999997</v>
      </c>
      <c r="F147" s="122">
        <f t="shared" si="11"/>
        <v>186.33600000000001</v>
      </c>
      <c r="G147" s="122">
        <f t="shared" si="11"/>
        <v>536.83799999999997</v>
      </c>
      <c r="H147" s="122">
        <f t="shared" si="11"/>
        <v>9.5980000000000008</v>
      </c>
      <c r="I147" s="137">
        <f t="shared" si="11"/>
        <v>1114.0829999999999</v>
      </c>
      <c r="J147" s="163"/>
      <c r="K147" s="163"/>
      <c r="L147" s="163"/>
      <c r="M147" s="4" t="s">
        <v>236</v>
      </c>
      <c r="N147" s="4" t="s">
        <v>237</v>
      </c>
      <c r="O147" s="4" t="s">
        <v>707</v>
      </c>
    </row>
    <row r="148" spans="1:33">
      <c r="I148" s="78">
        <f>1104.472+9.632-I147</f>
        <v>2.1000000000185537E-2</v>
      </c>
      <c r="J148" s="78"/>
      <c r="K148" s="78"/>
      <c r="L148" s="78"/>
    </row>
    <row r="150" spans="1:33">
      <c r="A150" s="10" t="str">
        <f>+IF($E$1=1,M150,IF($E$1=2,N150,O150))</f>
        <v>Liiketoimintasegmentit 1-6/2006</v>
      </c>
      <c r="M150" s="4" t="s">
        <v>203</v>
      </c>
      <c r="N150" s="4" t="s">
        <v>318</v>
      </c>
      <c r="O150" s="4" t="s">
        <v>250</v>
      </c>
      <c r="R150" s="141" t="s">
        <v>425</v>
      </c>
      <c r="S150" s="141" t="s">
        <v>427</v>
      </c>
      <c r="T150" s="141" t="s">
        <v>70</v>
      </c>
      <c r="U150" s="140" t="s">
        <v>347</v>
      </c>
      <c r="V150" s="141" t="s">
        <v>155</v>
      </c>
      <c r="W150" s="165" t="s">
        <v>240</v>
      </c>
      <c r="X150" s="141" t="s">
        <v>427</v>
      </c>
      <c r="Y150" s="165" t="s">
        <v>241</v>
      </c>
      <c r="Z150" s="140" t="s">
        <v>242</v>
      </c>
      <c r="AA150" s="165" t="s">
        <v>243</v>
      </c>
      <c r="AB150" s="165" t="s">
        <v>240</v>
      </c>
      <c r="AC150" s="141" t="s">
        <v>427</v>
      </c>
      <c r="AD150" s="165" t="s">
        <v>244</v>
      </c>
      <c r="AE150" s="142" t="s">
        <v>245</v>
      </c>
      <c r="AF150" s="165" t="s">
        <v>157</v>
      </c>
      <c r="AG150" s="47"/>
    </row>
    <row r="151" spans="1:33">
      <c r="A151" s="10"/>
      <c r="B151" s="46" t="s">
        <v>425</v>
      </c>
      <c r="C151" s="46" t="s">
        <v>425</v>
      </c>
      <c r="D151" s="46" t="s">
        <v>427</v>
      </c>
      <c r="E151" s="46" t="s">
        <v>70</v>
      </c>
      <c r="F151" s="46" t="s">
        <v>347</v>
      </c>
      <c r="G151" s="46" t="s">
        <v>155</v>
      </c>
      <c r="M151" s="4"/>
      <c r="N151" s="4"/>
      <c r="O151" s="4"/>
      <c r="R151" s="141" t="s">
        <v>426</v>
      </c>
      <c r="S151" s="141" t="s">
        <v>428</v>
      </c>
      <c r="T151" s="47"/>
      <c r="U151" s="140" t="s">
        <v>348</v>
      </c>
      <c r="V151" s="140"/>
      <c r="W151" s="47" t="s">
        <v>246</v>
      </c>
      <c r="X151" s="141" t="s">
        <v>428</v>
      </c>
      <c r="Y151" s="47"/>
      <c r="Z151" s="140"/>
      <c r="AA151" s="47"/>
      <c r="AB151" s="47" t="s">
        <v>247</v>
      </c>
      <c r="AC151" s="141" t="s">
        <v>428</v>
      </c>
      <c r="AD151" s="47"/>
      <c r="AE151" s="47"/>
      <c r="AF151" s="47"/>
      <c r="AG151" s="47"/>
    </row>
    <row r="152" spans="1:33">
      <c r="A152" s="91" t="str">
        <f t="shared" ref="A152:A158" si="12">+IF($E$1=1,M152,IF($E$1=2,N152,O152))</f>
        <v>MEUR</v>
      </c>
      <c r="B152" s="109" t="s">
        <v>426</v>
      </c>
      <c r="C152" s="109" t="s">
        <v>426</v>
      </c>
      <c r="D152" s="109" t="s">
        <v>428</v>
      </c>
      <c r="E152" s="109"/>
      <c r="F152" s="109" t="s">
        <v>348</v>
      </c>
      <c r="G152" s="108"/>
      <c r="H152" s="4"/>
      <c r="I152" s="4"/>
      <c r="J152" s="4"/>
      <c r="K152" s="4"/>
      <c r="L152" s="4"/>
      <c r="M152" s="2" t="s">
        <v>740</v>
      </c>
      <c r="N152" s="2" t="s">
        <v>740</v>
      </c>
      <c r="O152" s="2" t="s">
        <v>740</v>
      </c>
    </row>
    <row r="153" spans="1:33">
      <c r="A153" s="6" t="str">
        <f t="shared" si="12"/>
        <v>Liikevaihto</v>
      </c>
      <c r="B153" s="81" t="e">
        <f ca="1">+B10</f>
        <v>#NAME?</v>
      </c>
      <c r="C153" s="81">
        <f>+C10</f>
        <v>591.90800000000002</v>
      </c>
      <c r="D153" s="73"/>
      <c r="E153" s="73"/>
      <c r="F153" s="73"/>
      <c r="G153" s="81" t="e">
        <f ca="1">+B10</f>
        <v>#NAME?</v>
      </c>
      <c r="H153" s="11"/>
      <c r="I153" s="5"/>
      <c r="J153" s="5"/>
      <c r="K153" s="5"/>
      <c r="L153" s="5"/>
      <c r="M153" s="6" t="s">
        <v>613</v>
      </c>
      <c r="N153" s="2" t="s">
        <v>521</v>
      </c>
      <c r="O153" s="6" t="s">
        <v>145</v>
      </c>
    </row>
    <row r="154" spans="1:33">
      <c r="A154" s="6" t="str">
        <f t="shared" si="12"/>
        <v>Liiketulos</v>
      </c>
      <c r="B154" s="81" t="e">
        <f ca="1">+B14</f>
        <v>#NAME?</v>
      </c>
      <c r="C154" s="81">
        <f>+C14</f>
        <v>35.920000000000059</v>
      </c>
      <c r="D154" s="73"/>
      <c r="E154" s="73"/>
      <c r="F154" s="73"/>
      <c r="G154" s="81" t="e">
        <f ca="1">+B14</f>
        <v>#NAME?</v>
      </c>
      <c r="H154" s="11"/>
      <c r="I154" s="5"/>
      <c r="J154" s="5"/>
      <c r="K154" s="5"/>
      <c r="L154" s="5"/>
      <c r="M154" s="6" t="s">
        <v>845</v>
      </c>
      <c r="N154" s="2" t="s">
        <v>184</v>
      </c>
      <c r="O154" s="6" t="s">
        <v>542</v>
      </c>
    </row>
    <row r="155" spans="1:33">
      <c r="A155" s="6" t="str">
        <f t="shared" si="12"/>
        <v>Rahoitustuotot ja kulut sekä osingot</v>
      </c>
      <c r="B155" s="81"/>
      <c r="C155" s="81"/>
      <c r="D155" s="73"/>
      <c r="E155" s="73"/>
      <c r="F155" s="73" t="e">
        <f ca="1">+G155-D155-C155-E155</f>
        <v>#NAME?</v>
      </c>
      <c r="G155" s="81" t="e">
        <f ca="1">+B15</f>
        <v>#NAME?</v>
      </c>
      <c r="H155" s="11"/>
      <c r="I155" s="5"/>
      <c r="J155" s="5"/>
      <c r="K155" s="5"/>
      <c r="L155" s="5"/>
      <c r="M155" s="6" t="s">
        <v>349</v>
      </c>
      <c r="N155" s="2" t="s">
        <v>351</v>
      </c>
      <c r="O155" s="2" t="s">
        <v>350</v>
      </c>
    </row>
    <row r="156" spans="1:33">
      <c r="A156" s="6" t="str">
        <f t="shared" si="12"/>
        <v>Nettovoitot myytävissä olevista sijoituksista</v>
      </c>
      <c r="B156" s="81"/>
      <c r="C156" s="81"/>
      <c r="D156" s="73"/>
      <c r="E156" s="73"/>
      <c r="F156" s="73" t="e">
        <f ca="1">+G156-D156-C156-E156</f>
        <v>#NAME?</v>
      </c>
      <c r="G156" s="81" t="e">
        <f ca="1">+B16</f>
        <v>#NAME?</v>
      </c>
      <c r="H156" s="11"/>
      <c r="I156" s="5"/>
      <c r="J156" s="5"/>
      <c r="K156" s="5"/>
      <c r="L156" s="5"/>
      <c r="M156" s="6" t="str">
        <f>+M$16</f>
        <v>Nettovoitot myytävissä olevista sijoituksista</v>
      </c>
      <c r="N156" s="6" t="str">
        <f>+N$16</f>
        <v>Net income from assets available for sale</v>
      </c>
      <c r="O156" s="6" t="str">
        <f>+O$16</f>
        <v>Nettovinst på tillgångar som kan säljas</v>
      </c>
    </row>
    <row r="157" spans="1:33">
      <c r="A157" s="85" t="str">
        <f t="shared" si="12"/>
        <v>Osuus osakkuusyhtiöiden tuloksesta</v>
      </c>
      <c r="B157" s="94"/>
      <c r="C157" s="94"/>
      <c r="D157" s="77"/>
      <c r="E157" s="77" t="e">
        <f ca="1">+G157-C157-B157-D157-F157</f>
        <v>#NAME?</v>
      </c>
      <c r="F157" s="77"/>
      <c r="G157" s="162" t="e">
        <f ca="1">B17</f>
        <v>#NAME?</v>
      </c>
      <c r="H157" s="11"/>
      <c r="I157" s="5"/>
      <c r="J157" s="5"/>
      <c r="K157" s="5"/>
      <c r="L157" s="5"/>
      <c r="M157" s="6" t="str">
        <f>+M$17</f>
        <v>Osuus osakkuusyhtiöiden tuloksesta</v>
      </c>
      <c r="N157" s="6" t="str">
        <f>+N$17</f>
        <v>Share of profit of associates</v>
      </c>
      <c r="O157" s="6" t="str">
        <f>+O$17</f>
        <v>Resultatandel i intresseföretag</v>
      </c>
    </row>
    <row r="158" spans="1:33">
      <c r="A158" s="6" t="str">
        <f t="shared" si="12"/>
        <v>Tulos ennen veroja</v>
      </c>
      <c r="B158" s="81"/>
      <c r="C158" s="81"/>
      <c r="D158" s="73"/>
      <c r="E158" s="73"/>
      <c r="F158" s="73"/>
      <c r="G158" s="81" t="e">
        <f ca="1">+B18</f>
        <v>#NAME?</v>
      </c>
      <c r="H158" s="11"/>
      <c r="I158" s="5"/>
      <c r="J158" s="5"/>
      <c r="K158" s="5"/>
      <c r="L158" s="5"/>
      <c r="M158" s="6" t="str">
        <f>+M$18</f>
        <v>Tulos ennen veroja</v>
      </c>
      <c r="N158" s="6" t="str">
        <f>+N$18</f>
        <v>Profit before taxes</v>
      </c>
      <c r="O158" s="6" t="str">
        <f>+O$18</f>
        <v>Resultat före skatter</v>
      </c>
    </row>
    <row r="159" spans="1:33">
      <c r="A159" s="6"/>
      <c r="B159" s="81"/>
      <c r="C159" s="81"/>
      <c r="D159" s="73"/>
      <c r="E159" s="73"/>
      <c r="F159" s="73"/>
      <c r="G159" s="81"/>
      <c r="H159" s="11"/>
      <c r="I159" s="4"/>
      <c r="J159" s="4"/>
      <c r="K159" s="4"/>
      <c r="L159" s="4"/>
      <c r="M159" s="6"/>
      <c r="N159" s="6"/>
      <c r="O159" s="6"/>
    </row>
    <row r="160" spans="1:33">
      <c r="A160" s="6" t="str">
        <f>+IF($E$1=1,M160,IF($E$1=2,N160,O160))</f>
        <v>Varat</v>
      </c>
      <c r="B160" s="81">
        <f>+F160-E160-D160</f>
        <v>-321.64699999999999</v>
      </c>
      <c r="C160" s="81"/>
      <c r="D160" s="73"/>
      <c r="E160" s="160">
        <f>302.473+20.889+113.441</f>
        <v>436.803</v>
      </c>
      <c r="F160" s="160">
        <f>78.361+10.015+8.537+18.243</f>
        <v>115.15600000000001</v>
      </c>
      <c r="G160" s="159" t="e">
        <f ca="1">+B49</f>
        <v>#NAME?</v>
      </c>
      <c r="H160" s="11"/>
      <c r="I160" s="4"/>
      <c r="J160" s="4"/>
      <c r="K160" s="4"/>
      <c r="L160" s="4"/>
      <c r="M160" s="6" t="s">
        <v>556</v>
      </c>
      <c r="N160" s="2" t="s">
        <v>557</v>
      </c>
      <c r="O160" s="2" t="s">
        <v>273</v>
      </c>
    </row>
    <row r="161" spans="1:33">
      <c r="A161" s="6" t="str">
        <f>+IF($E$1=1,M161,IF($E$1=2,N161,O161))</f>
        <v>Velat</v>
      </c>
      <c r="B161" s="81">
        <f>+F161-E161-D161</f>
        <v>108.401</v>
      </c>
      <c r="C161" s="81"/>
      <c r="D161" s="73"/>
      <c r="E161" s="73"/>
      <c r="F161" s="160">
        <f>90.167+3.36+14.874</f>
        <v>108.401</v>
      </c>
      <c r="G161" s="81" t="e">
        <f ca="1">B70</f>
        <v>#NAME?</v>
      </c>
      <c r="H161" s="11"/>
      <c r="I161" s="4"/>
      <c r="J161" s="4"/>
      <c r="K161" s="4"/>
      <c r="L161" s="4"/>
      <c r="M161" s="6" t="s">
        <v>352</v>
      </c>
      <c r="N161" s="2" t="s">
        <v>353</v>
      </c>
      <c r="O161" s="2" t="s">
        <v>355</v>
      </c>
    </row>
    <row r="162" spans="1:33">
      <c r="A162" s="6" t="str">
        <f>+IF($E$1=1,M162,IF($E$1=2,N162,O162))</f>
        <v>Investoinnit</v>
      </c>
      <c r="B162" s="159">
        <f>-(B93)</f>
        <v>29.448000000000015</v>
      </c>
      <c r="C162" s="159"/>
      <c r="D162" s="73"/>
      <c r="E162" s="73"/>
      <c r="F162" s="73"/>
      <c r="G162" s="159">
        <v>40.014000000000003</v>
      </c>
      <c r="H162" s="11"/>
      <c r="I162" s="4"/>
      <c r="J162" s="4"/>
      <c r="K162" s="4"/>
      <c r="L162" s="4"/>
      <c r="M162" s="6" t="s">
        <v>126</v>
      </c>
      <c r="N162" s="2" t="s">
        <v>354</v>
      </c>
      <c r="O162" s="2" t="s">
        <v>356</v>
      </c>
    </row>
    <row r="163" spans="1:33">
      <c r="A163" s="6" t="str">
        <f>+IF($E$1=1,M163,IF($E$1=2,N163,O163))</f>
        <v>Poistot ja arvonalentumiset</v>
      </c>
      <c r="B163" s="81" t="e">
        <f ca="1">B13</f>
        <v>#NAME?</v>
      </c>
      <c r="C163" s="81">
        <f>C13</f>
        <v>-17.616</v>
      </c>
      <c r="D163" s="73"/>
      <c r="E163" s="73"/>
      <c r="F163" s="73" t="e">
        <f ca="1">+G163-D163-C163</f>
        <v>#NAME?</v>
      </c>
      <c r="G163" s="81" t="e">
        <f ca="1">B13</f>
        <v>#NAME?</v>
      </c>
      <c r="H163" s="11"/>
      <c r="I163" s="4"/>
      <c r="J163" s="4"/>
      <c r="K163" s="4"/>
      <c r="L163" s="4"/>
      <c r="M163" s="6" t="s">
        <v>623</v>
      </c>
      <c r="N163" s="2" t="s">
        <v>524</v>
      </c>
      <c r="O163" s="6" t="s">
        <v>624</v>
      </c>
    </row>
    <row r="166" spans="1:33">
      <c r="A166" s="10" t="str">
        <f>+IF($E$1=1,M166,IF($E$1=2,N166,O166))</f>
        <v>Liiketoimintasegmentit 1-6/2005</v>
      </c>
      <c r="M166" s="4" t="s">
        <v>708</v>
      </c>
      <c r="N166" s="4" t="s">
        <v>709</v>
      </c>
      <c r="O166" s="4" t="s">
        <v>202</v>
      </c>
      <c r="R166" s="141" t="s">
        <v>425</v>
      </c>
      <c r="S166" s="141" t="s">
        <v>427</v>
      </c>
      <c r="T166" s="141" t="s">
        <v>70</v>
      </c>
      <c r="U166" s="140" t="s">
        <v>347</v>
      </c>
      <c r="V166" s="141" t="s">
        <v>155</v>
      </c>
      <c r="W166" s="165" t="s">
        <v>240</v>
      </c>
      <c r="X166" s="141" t="s">
        <v>427</v>
      </c>
      <c r="Y166" s="165" t="s">
        <v>241</v>
      </c>
      <c r="Z166" s="140" t="s">
        <v>242</v>
      </c>
      <c r="AA166" s="165" t="s">
        <v>243</v>
      </c>
      <c r="AB166" s="165" t="s">
        <v>240</v>
      </c>
      <c r="AC166" s="141" t="s">
        <v>427</v>
      </c>
      <c r="AD166" s="165" t="s">
        <v>244</v>
      </c>
      <c r="AE166" s="142" t="s">
        <v>245</v>
      </c>
      <c r="AF166" s="165" t="s">
        <v>157</v>
      </c>
      <c r="AG166" s="47"/>
    </row>
    <row r="167" spans="1:33">
      <c r="A167" s="10"/>
      <c r="B167" s="46" t="s">
        <v>425</v>
      </c>
      <c r="C167" s="46" t="s">
        <v>425</v>
      </c>
      <c r="D167" s="46" t="s">
        <v>427</v>
      </c>
      <c r="E167" s="46" t="s">
        <v>70</v>
      </c>
      <c r="F167" s="46" t="s">
        <v>347</v>
      </c>
      <c r="G167" s="46" t="s">
        <v>155</v>
      </c>
      <c r="M167" s="4"/>
      <c r="N167" s="4"/>
      <c r="O167" s="4"/>
      <c r="R167" s="141" t="s">
        <v>426</v>
      </c>
      <c r="S167" s="141" t="s">
        <v>428</v>
      </c>
      <c r="T167" s="47"/>
      <c r="U167" s="140" t="s">
        <v>348</v>
      </c>
      <c r="V167" s="140"/>
      <c r="W167" s="47" t="s">
        <v>246</v>
      </c>
      <c r="X167" s="141" t="s">
        <v>428</v>
      </c>
      <c r="Y167" s="47"/>
      <c r="Z167" s="140"/>
      <c r="AA167" s="47"/>
      <c r="AB167" s="47" t="s">
        <v>247</v>
      </c>
      <c r="AC167" s="141" t="s">
        <v>428</v>
      </c>
      <c r="AD167" s="47"/>
      <c r="AE167" s="47"/>
      <c r="AF167" s="47"/>
      <c r="AG167" s="47"/>
    </row>
    <row r="168" spans="1:33">
      <c r="A168" s="91" t="str">
        <f t="shared" ref="A168:A174" si="13">+IF($E$1=1,M168,IF($E$1=2,N168,O168))</f>
        <v>MEUR</v>
      </c>
      <c r="B168" s="109" t="s">
        <v>426</v>
      </c>
      <c r="C168" s="109" t="s">
        <v>426</v>
      </c>
      <c r="D168" s="109" t="s">
        <v>428</v>
      </c>
      <c r="E168" s="109"/>
      <c r="F168" s="109" t="s">
        <v>348</v>
      </c>
      <c r="G168" s="108"/>
      <c r="H168" s="4"/>
      <c r="I168" s="4"/>
      <c r="J168" s="4"/>
      <c r="K168" s="4"/>
      <c r="L168" s="4"/>
      <c r="M168" s="2" t="s">
        <v>740</v>
      </c>
      <c r="N168" s="2" t="s">
        <v>740</v>
      </c>
      <c r="O168" s="2" t="s">
        <v>740</v>
      </c>
    </row>
    <row r="169" spans="1:33">
      <c r="A169" s="6" t="str">
        <f t="shared" si="13"/>
        <v>Liikevaihto</v>
      </c>
      <c r="B169" s="37">
        <v>1138.9780000000001</v>
      </c>
      <c r="C169" s="37">
        <v>1138.9780000000001</v>
      </c>
      <c r="D169" s="36">
        <v>118.96299999999999</v>
      </c>
      <c r="E169" s="36"/>
      <c r="F169" s="36">
        <f>+G169-D169-C169-E169</f>
        <v>-0.47800000000006548</v>
      </c>
      <c r="G169" s="37">
        <f>+D10</f>
        <v>1257.463</v>
      </c>
      <c r="H169" s="11"/>
      <c r="I169" s="5"/>
      <c r="J169" s="5"/>
      <c r="K169" s="5"/>
      <c r="L169" s="5"/>
      <c r="M169" s="6" t="s">
        <v>613</v>
      </c>
      <c r="N169" s="2" t="s">
        <v>521</v>
      </c>
      <c r="O169" s="6" t="s">
        <v>145</v>
      </c>
    </row>
    <row r="170" spans="1:33">
      <c r="A170" s="6" t="str">
        <f t="shared" si="13"/>
        <v>Liiketulos</v>
      </c>
      <c r="B170" s="37">
        <v>72.861000000000004</v>
      </c>
      <c r="C170" s="37">
        <v>72.861000000000004</v>
      </c>
      <c r="D170" s="36">
        <v>21.873999999999999</v>
      </c>
      <c r="E170" s="36"/>
      <c r="F170" s="36">
        <f>+G170-D170-C170-E170</f>
        <v>3.6999999999963507E-2</v>
      </c>
      <c r="G170" s="37">
        <f>+D14</f>
        <v>94.771999999999963</v>
      </c>
      <c r="H170" s="11"/>
      <c r="I170" s="5"/>
      <c r="J170" s="5"/>
      <c r="K170" s="5"/>
      <c r="L170" s="5"/>
      <c r="M170" s="6" t="s">
        <v>845</v>
      </c>
      <c r="N170" s="2" t="s">
        <v>184</v>
      </c>
      <c r="O170" s="6" t="s">
        <v>542</v>
      </c>
    </row>
    <row r="171" spans="1:33">
      <c r="A171" s="6" t="str">
        <f t="shared" si="13"/>
        <v>Rahoitustuotot ja kulut sekä osingot</v>
      </c>
      <c r="B171" s="37"/>
      <c r="C171" s="37"/>
      <c r="D171" s="36"/>
      <c r="E171" s="36"/>
      <c r="F171" s="36">
        <f>+G171-D171-C171-E171</f>
        <v>-9.4480000000000004</v>
      </c>
      <c r="G171" s="37">
        <f>+D15</f>
        <v>-9.4480000000000004</v>
      </c>
      <c r="H171" s="11"/>
      <c r="I171" s="5"/>
      <c r="J171" s="5"/>
      <c r="K171" s="5"/>
      <c r="L171" s="5"/>
      <c r="M171" s="6" t="s">
        <v>349</v>
      </c>
      <c r="N171" s="2" t="s">
        <v>351</v>
      </c>
      <c r="O171" s="2" t="s">
        <v>350</v>
      </c>
    </row>
    <row r="172" spans="1:33">
      <c r="A172" s="6" t="str">
        <f t="shared" si="13"/>
        <v>Nettovoitot myytävissä olevista sijoituksista</v>
      </c>
      <c r="B172" s="37"/>
      <c r="C172" s="37"/>
      <c r="D172" s="36"/>
      <c r="E172" s="36"/>
      <c r="F172" s="36"/>
      <c r="G172" s="37"/>
      <c r="H172" s="11"/>
      <c r="I172" s="5"/>
      <c r="J172" s="5"/>
      <c r="K172" s="5"/>
      <c r="L172" s="5"/>
      <c r="M172" s="6" t="str">
        <f>+M$16</f>
        <v>Nettovoitot myytävissä olevista sijoituksista</v>
      </c>
      <c r="N172" s="6" t="str">
        <f>+N$16</f>
        <v>Net income from assets available for sale</v>
      </c>
      <c r="O172" s="6" t="str">
        <f>+O$16</f>
        <v>Nettovinst på tillgångar som kan säljas</v>
      </c>
    </row>
    <row r="173" spans="1:33">
      <c r="A173" s="85" t="str">
        <f t="shared" si="13"/>
        <v>Osuus osakkuusyhtiöiden tuloksesta</v>
      </c>
      <c r="B173" s="56"/>
      <c r="C173" s="56"/>
      <c r="D173" s="42"/>
      <c r="E173" s="42">
        <f>+G173-D173-C173-F173</f>
        <v>7.1479999999999997</v>
      </c>
      <c r="F173" s="161"/>
      <c r="G173" s="56">
        <f>+D17</f>
        <v>7.1479999999999997</v>
      </c>
      <c r="H173" s="11"/>
      <c r="I173" s="5"/>
      <c r="J173" s="5"/>
      <c r="K173" s="5"/>
      <c r="L173" s="5"/>
      <c r="M173" s="6" t="str">
        <f>+M$17</f>
        <v>Osuus osakkuusyhtiöiden tuloksesta</v>
      </c>
      <c r="N173" s="6" t="str">
        <f>+N$17</f>
        <v>Share of profit of associates</v>
      </c>
      <c r="O173" s="6" t="str">
        <f>+O$17</f>
        <v>Resultatandel i intresseföretag</v>
      </c>
    </row>
    <row r="174" spans="1:33">
      <c r="A174" s="6" t="str">
        <f t="shared" si="13"/>
        <v>Tulos ennen veroja</v>
      </c>
      <c r="B174" s="37"/>
      <c r="C174" s="37"/>
      <c r="D174" s="36"/>
      <c r="E174" s="36"/>
      <c r="F174" s="36"/>
      <c r="G174" s="37">
        <f>+D18</f>
        <v>92.471999999999952</v>
      </c>
      <c r="H174" s="11"/>
      <c r="I174" s="5"/>
      <c r="J174" s="5"/>
      <c r="K174" s="5"/>
      <c r="L174" s="5"/>
      <c r="M174" s="6" t="str">
        <f>+M$18</f>
        <v>Tulos ennen veroja</v>
      </c>
      <c r="N174" s="6" t="str">
        <f>+N$18</f>
        <v>Profit before taxes</v>
      </c>
      <c r="O174" s="6" t="str">
        <f>+O$18</f>
        <v>Resultat före skatter</v>
      </c>
    </row>
    <row r="175" spans="1:33">
      <c r="A175" s="6"/>
      <c r="B175" s="37"/>
      <c r="C175" s="37"/>
      <c r="D175" s="36"/>
      <c r="E175" s="36"/>
      <c r="F175" s="36"/>
      <c r="G175" s="37"/>
      <c r="H175" s="11"/>
      <c r="I175" s="5"/>
      <c r="J175" s="5"/>
      <c r="K175" s="5"/>
      <c r="L175" s="5"/>
      <c r="M175" s="6"/>
      <c r="N175" s="6"/>
      <c r="O175" s="6"/>
    </row>
    <row r="176" spans="1:33">
      <c r="A176" s="6"/>
      <c r="B176" s="37"/>
      <c r="C176" s="37"/>
      <c r="D176" s="36"/>
      <c r="E176" s="36"/>
      <c r="F176" s="36"/>
      <c r="G176" s="37"/>
      <c r="H176" s="11"/>
      <c r="I176" s="4"/>
      <c r="J176" s="4"/>
      <c r="K176" s="4"/>
      <c r="L176" s="4"/>
      <c r="M176" s="6"/>
      <c r="N176" s="6"/>
      <c r="O176" s="6"/>
    </row>
    <row r="177" spans="1:15">
      <c r="A177" s="6" t="str">
        <f>+IF($E$1=1,M177,IF($E$1=2,N177,O177))</f>
        <v>Varat</v>
      </c>
      <c r="B177" s="37">
        <f>2499.673-51.749-12.983-14.284-1.289-69.8</f>
        <v>2349.5679999999993</v>
      </c>
      <c r="C177" s="37">
        <f>2499.673-51.749-12.983-14.284-1.289-69.8</f>
        <v>2349.5679999999993</v>
      </c>
      <c r="D177" s="36"/>
      <c r="E177" s="36">
        <v>331.22699999999998</v>
      </c>
      <c r="F177" s="36">
        <f>51.749+12.983+14.284+1.289</f>
        <v>80.305000000000007</v>
      </c>
      <c r="G177" s="37">
        <f>+D49</f>
        <v>2761.0929999999998</v>
      </c>
      <c r="H177" s="11"/>
      <c r="I177" s="4"/>
      <c r="J177" s="4"/>
      <c r="K177" s="4"/>
      <c r="L177" s="4"/>
      <c r="M177" s="6" t="s">
        <v>556</v>
      </c>
      <c r="N177" s="2" t="s">
        <v>557</v>
      </c>
      <c r="O177" s="2" t="s">
        <v>273</v>
      </c>
    </row>
    <row r="178" spans="1:15">
      <c r="A178" s="6" t="str">
        <f>+IF($E$1=1,M178,IF($E$1=2,N178,O178))</f>
        <v>Velat</v>
      </c>
      <c r="B178" s="37">
        <f>1704.164-64.318-4.612+45.8</f>
        <v>1681.0339999999999</v>
      </c>
      <c r="C178" s="37">
        <f>1704.164-64.318-4.612+45.8</f>
        <v>1681.0339999999999</v>
      </c>
      <c r="D178" s="36"/>
      <c r="E178" s="36"/>
      <c r="F178" s="36">
        <f>64.318+4.612</f>
        <v>68.929999999999993</v>
      </c>
      <c r="G178" s="37">
        <f>D70</f>
        <v>1749.8650000000002</v>
      </c>
      <c r="H178" s="11"/>
      <c r="I178" s="4"/>
      <c r="J178" s="4"/>
      <c r="K178" s="4"/>
      <c r="L178" s="4"/>
      <c r="M178" s="6" t="s">
        <v>352</v>
      </c>
      <c r="N178" s="2" t="s">
        <v>353</v>
      </c>
      <c r="O178" s="2" t="s">
        <v>355</v>
      </c>
    </row>
    <row r="179" spans="1:15">
      <c r="A179" s="6" t="str">
        <f>+IF($E$1=1,M179,IF($E$1=2,N179,O179))</f>
        <v>Investoinnit</v>
      </c>
      <c r="B179" s="37">
        <f>142+29.7</f>
        <v>171.7</v>
      </c>
      <c r="C179" s="37">
        <f>142+29.7</f>
        <v>171.7</v>
      </c>
      <c r="D179" s="36">
        <v>3.3</v>
      </c>
      <c r="E179" s="36"/>
      <c r="F179" s="36"/>
      <c r="G179" s="37">
        <v>175</v>
      </c>
      <c r="H179" s="11"/>
      <c r="I179" s="4"/>
      <c r="J179" s="4"/>
      <c r="K179" s="4"/>
      <c r="L179" s="4"/>
      <c r="M179" s="6" t="s">
        <v>126</v>
      </c>
      <c r="N179" s="2" t="s">
        <v>354</v>
      </c>
      <c r="O179" s="2" t="s">
        <v>356</v>
      </c>
    </row>
    <row r="180" spans="1:15">
      <c r="A180" s="6" t="str">
        <f>+IF($E$1=1,M180,IF($E$1=2,N180,O180))</f>
        <v>Poistot ja arvonalentumiset</v>
      </c>
      <c r="B180" s="37">
        <v>-30.831</v>
      </c>
      <c r="C180" s="37">
        <v>-30.831</v>
      </c>
      <c r="D180" s="36">
        <v>-4.359</v>
      </c>
      <c r="E180" s="36"/>
      <c r="F180" s="36"/>
      <c r="G180" s="37">
        <f>D13</f>
        <v>-35.191000000000003</v>
      </c>
      <c r="H180" s="11"/>
      <c r="I180" s="4"/>
      <c r="J180" s="4"/>
      <c r="K180" s="4"/>
      <c r="L180" s="4"/>
      <c r="M180" s="6" t="s">
        <v>623</v>
      </c>
      <c r="N180" s="2" t="s">
        <v>524</v>
      </c>
      <c r="O180" s="6" t="s">
        <v>624</v>
      </c>
    </row>
    <row r="181" spans="1:15">
      <c r="B181" s="36"/>
      <c r="C181" s="36"/>
      <c r="D181" s="36"/>
      <c r="E181" s="36"/>
      <c r="F181" s="36"/>
      <c r="G181" s="36"/>
    </row>
    <row r="183" spans="1:15">
      <c r="A183" s="10" t="str">
        <f>+IF($E$1=1,M183,IF($E$1=2,N183,O183))</f>
        <v>Maantieteelliset segmentit</v>
      </c>
      <c r="B183" s="46" t="s">
        <v>361</v>
      </c>
      <c r="C183" s="46" t="s">
        <v>361</v>
      </c>
      <c r="D183" s="46" t="s">
        <v>362</v>
      </c>
      <c r="E183" s="46" t="s">
        <v>363</v>
      </c>
      <c r="F183" s="46" t="s">
        <v>654</v>
      </c>
      <c r="G183" s="46" t="s">
        <v>155</v>
      </c>
      <c r="M183" s="6" t="s">
        <v>358</v>
      </c>
      <c r="N183" s="2" t="s">
        <v>359</v>
      </c>
      <c r="O183" t="s">
        <v>360</v>
      </c>
    </row>
    <row r="185" spans="1:15">
      <c r="A185" s="6" t="str">
        <f>+IF($E$1=1,M185,IF($E$1=2,N185,O185))</f>
        <v>Liikevaihto 1-3/2006</v>
      </c>
      <c r="B185" s="22">
        <f>4.24+8.289+27.069+9.244+11.4+0.957+2.584+1.03+16.156+23.978+23.249+2.841+20.803+27.49+2.256+13.137+10.018+0.801+0.645+1.557+5.957+4.063</f>
        <v>217.76399999999998</v>
      </c>
      <c r="C185" s="22">
        <f>4.24+8.289+27.069+9.244+11.4+0.957+2.584+1.03+16.156+23.978+23.249+2.841+20.803+27.49+2.256+13.137+10.018+0.801+0.645+1.557+5.957+4.063</f>
        <v>217.76399999999998</v>
      </c>
      <c r="D185" s="22">
        <f>28.143+17.514+1.915+4.277+30.885+29.01+0.626+5.287+0.008+15.028+8.058+2.203+13.738+18.263+7.041+24.674+6.647</f>
        <v>213.31700000000001</v>
      </c>
      <c r="E185" s="22">
        <f>36.368+5.435+51.628+23.067</f>
        <v>116.49800000000002</v>
      </c>
      <c r="F185" s="22">
        <f>0.091+37.21+3.542+3.483</f>
        <v>44.326000000000001</v>
      </c>
      <c r="G185" s="22">
        <f>SUM(C185:F185)</f>
        <v>591.90500000000009</v>
      </c>
      <c r="I185" s="75">
        <f>+C10-G185</f>
        <v>2.9999999999290594E-3</v>
      </c>
      <c r="J185" s="75"/>
      <c r="K185" s="75"/>
      <c r="L185" s="75"/>
      <c r="M185" s="6" t="s">
        <v>655</v>
      </c>
      <c r="N185" s="2" t="s">
        <v>527</v>
      </c>
      <c r="O185" s="6" t="s">
        <v>656</v>
      </c>
    </row>
    <row r="186" spans="1:15">
      <c r="A186" s="6" t="str">
        <f>+IF($E$1=1,M186,IF($E$1=2,N186,O186))</f>
        <v>Liikevaihto 1-3/2005</v>
      </c>
      <c r="B186" s="37">
        <f>18.846+33.826+20.852+10.64+6.891+0.396+12.465+0.047+27.879+28.365+25.938+1.2+18.267+44.675+1.968+15.604+6.888+1.361+0.827+1.168+6.875+4.356-0.531</f>
        <v>288.80299999999994</v>
      </c>
      <c r="C186" s="37">
        <f>18.846+33.826+20.852+10.64+6.891+0.396+12.465+0.047+27.879+28.365+25.938+1.2+18.267+44.675+1.968+15.604+6.888+1.361+0.827+1.168+6.875+4.356-0.531</f>
        <v>288.80299999999994</v>
      </c>
      <c r="D186" s="36">
        <f>24.584+10.82+7.33+4.184+15.739+13.144+0.759+6.678+0.624+5.359+1.365+15.929+28.352+11.774+20.736+4.292</f>
        <v>171.66899999999998</v>
      </c>
      <c r="E186" s="36">
        <f>35.102+2.904+16.127+16.033</f>
        <v>70.165999999999997</v>
      </c>
      <c r="F186" s="36">
        <f>31.208+5.435+3.069+0.399</f>
        <v>40.111000000000004</v>
      </c>
      <c r="G186" s="37">
        <f>SUM(C186:F186)</f>
        <v>570.74899999999991</v>
      </c>
      <c r="I186" s="75">
        <f>+D10-G186</f>
        <v>686.71400000000006</v>
      </c>
      <c r="J186" s="75"/>
      <c r="K186" s="75"/>
      <c r="L186" s="75"/>
      <c r="M186" s="6" t="s">
        <v>657</v>
      </c>
      <c r="N186" s="2" t="s">
        <v>528</v>
      </c>
      <c r="O186" s="6" t="s">
        <v>658</v>
      </c>
    </row>
    <row r="187" spans="1:15">
      <c r="B187" s="5"/>
      <c r="C187" s="5"/>
      <c r="D187" s="36"/>
      <c r="F187" s="35"/>
      <c r="G187" s="5"/>
      <c r="I187" s="22"/>
      <c r="J187" s="22"/>
      <c r="K187" s="22"/>
      <c r="L187" s="22"/>
      <c r="M187" s="6"/>
      <c r="N187" s="2"/>
      <c r="O187" s="6"/>
    </row>
    <row r="188" spans="1:15">
      <c r="B188" s="5"/>
      <c r="C188" s="5"/>
      <c r="D188" s="36"/>
      <c r="F188" s="35"/>
      <c r="G188" s="5"/>
      <c r="I188" s="22"/>
      <c r="J188" s="22"/>
      <c r="K188" s="22"/>
      <c r="L188" s="22"/>
      <c r="M188" s="6"/>
      <c r="N188" s="2"/>
      <c r="O188" s="6"/>
    </row>
    <row r="189" spans="1:15">
      <c r="A189" s="21" t="str">
        <f>+IF($E$1=1,M189,IF($E$1=2,N189,O189))</f>
        <v>BRUTTOINVESTOINNIT</v>
      </c>
      <c r="B189" s="5"/>
      <c r="C189" s="5"/>
      <c r="D189" s="5"/>
      <c r="E189" s="4"/>
      <c r="F189" s="4"/>
      <c r="G189" s="4"/>
      <c r="H189" s="4"/>
      <c r="M189" s="21" t="s">
        <v>430</v>
      </c>
      <c r="N189" s="38" t="s">
        <v>431</v>
      </c>
      <c r="O189" s="21" t="s">
        <v>432</v>
      </c>
    </row>
    <row r="190" spans="1:15">
      <c r="A190" s="107" t="str">
        <f>+IF($E$1=1,M190,IF($E$1=2,N190,O190))</f>
        <v>MEUR</v>
      </c>
      <c r="B190" s="111" t="s">
        <v>357</v>
      </c>
      <c r="C190" s="111" t="s">
        <v>357</v>
      </c>
      <c r="D190" s="111" t="s">
        <v>12</v>
      </c>
      <c r="E190" s="121">
        <v>2005</v>
      </c>
      <c r="F190" s="4"/>
      <c r="G190" s="4"/>
      <c r="H190" s="4"/>
      <c r="M190" s="2" t="s">
        <v>740</v>
      </c>
      <c r="N190" s="2" t="s">
        <v>740</v>
      </c>
      <c r="O190" s="2" t="s">
        <v>740</v>
      </c>
    </row>
    <row r="191" spans="1:15">
      <c r="A191" s="4" t="str">
        <f>+IF($E$1=1,M191,IF($E$1=2,N191,O191))</f>
        <v>Osakkeet ja yritysostot</v>
      </c>
      <c r="B191" s="8"/>
      <c r="C191" s="8"/>
      <c r="D191" s="8"/>
      <c r="E191" s="25"/>
      <c r="F191" s="4"/>
      <c r="G191" s="4"/>
      <c r="H191" s="4"/>
      <c r="M191" s="4" t="s">
        <v>433</v>
      </c>
      <c r="N191" s="47" t="s">
        <v>434</v>
      </c>
      <c r="O191" s="4" t="s">
        <v>435</v>
      </c>
    </row>
    <row r="192" spans="1:15">
      <c r="A192" s="4" t="str">
        <f>+IF($E$1=1,M192,IF($E$1=2,N192,O192))</f>
        <v xml:space="preserve">   Power-liiketoiminnat</v>
      </c>
      <c r="B192" s="5">
        <v>17.023</v>
      </c>
      <c r="C192" s="5">
        <v>17.023</v>
      </c>
      <c r="D192" s="5">
        <v>116.28700000000001</v>
      </c>
      <c r="E192" s="8">
        <v>152.16399999999999</v>
      </c>
      <c r="F192" s="4"/>
      <c r="G192" s="4"/>
      <c r="H192" s="4"/>
      <c r="M192" s="4" t="s">
        <v>128</v>
      </c>
      <c r="N192" t="s">
        <v>129</v>
      </c>
      <c r="O192" s="4" t="s">
        <v>130</v>
      </c>
    </row>
    <row r="193" spans="1:15">
      <c r="A193" s="27" t="str">
        <f>+IF($E$1=1,M193,IF($E$1=2,N193,O193))</f>
        <v xml:space="preserve">   Imatra Steel</v>
      </c>
      <c r="B193" s="55"/>
      <c r="C193" s="55"/>
      <c r="D193" s="55"/>
      <c r="E193" s="110"/>
      <c r="F193" s="4"/>
      <c r="G193" s="4"/>
      <c r="H193" s="4"/>
      <c r="M193" s="48" t="s">
        <v>436</v>
      </c>
      <c r="N193" s="48" t="s">
        <v>436</v>
      </c>
      <c r="O193" s="48" t="s">
        <v>436</v>
      </c>
    </row>
    <row r="194" spans="1:15">
      <c r="A194" s="4"/>
      <c r="B194" s="5">
        <f>SUM(B192:B193)</f>
        <v>17.023</v>
      </c>
      <c r="C194" s="5">
        <f>SUM(C192:C193)</f>
        <v>17.023</v>
      </c>
      <c r="D194" s="5">
        <f>SUM(D192:D193)</f>
        <v>116.28700000000001</v>
      </c>
      <c r="E194" s="8">
        <f>SUM(E192:E193)</f>
        <v>152.16399999999999</v>
      </c>
      <c r="F194" s="4"/>
      <c r="G194" s="4"/>
      <c r="H194" s="4"/>
      <c r="M194" s="4"/>
      <c r="O194" s="4"/>
    </row>
    <row r="195" spans="1:15">
      <c r="A195" s="4" t="str">
        <f>+IF($E$1=1,M195,IF($E$1=2,N195,O195))</f>
        <v>Muut investoinnit</v>
      </c>
      <c r="B195" s="5"/>
      <c r="C195" s="5"/>
      <c r="D195" s="5"/>
      <c r="E195" s="49"/>
      <c r="F195" s="4"/>
      <c r="G195" s="4"/>
      <c r="H195" s="4"/>
      <c r="M195" s="4" t="s">
        <v>152</v>
      </c>
      <c r="N195" s="47" t="s">
        <v>153</v>
      </c>
      <c r="O195" s="4" t="s">
        <v>154</v>
      </c>
    </row>
    <row r="196" spans="1:15">
      <c r="A196" s="4" t="str">
        <f>+IF($E$1=1,M196,IF($E$1=2,N196,O196))</f>
        <v xml:space="preserve">   Power-liiketoiminnat</v>
      </c>
      <c r="B196" s="5">
        <f>22.991-0.447</f>
        <v>22.544</v>
      </c>
      <c r="C196" s="5">
        <f>22.991-0.447</f>
        <v>22.544</v>
      </c>
      <c r="D196" s="5">
        <f>16.015-D197</f>
        <v>13.209</v>
      </c>
      <c r="E196" s="11">
        <f>78.974-E197</f>
        <v>75.582999999999998</v>
      </c>
      <c r="F196" s="4"/>
      <c r="G196" s="4"/>
      <c r="H196" s="4"/>
      <c r="M196" s="4" t="s">
        <v>128</v>
      </c>
      <c r="N196" t="s">
        <v>129</v>
      </c>
      <c r="O196" s="4" t="s">
        <v>130</v>
      </c>
    </row>
    <row r="197" spans="1:15">
      <c r="A197" s="27" t="str">
        <f>+IF($E$1=1,M197,IF($E$1=2,N197,O197))</f>
        <v xml:space="preserve">   Imatra Steel</v>
      </c>
      <c r="B197" s="55"/>
      <c r="C197" s="55"/>
      <c r="D197" s="55">
        <v>2.806</v>
      </c>
      <c r="E197" s="110">
        <v>3.391</v>
      </c>
      <c r="F197" s="4"/>
      <c r="G197" s="4"/>
      <c r="H197" s="4"/>
      <c r="M197" s="48" t="s">
        <v>436</v>
      </c>
      <c r="N197" s="48" t="s">
        <v>436</v>
      </c>
      <c r="O197" s="48" t="s">
        <v>436</v>
      </c>
    </row>
    <row r="198" spans="1:15">
      <c r="A198" s="4"/>
      <c r="B198" s="8">
        <f>SUM(B196:B197)</f>
        <v>22.544</v>
      </c>
      <c r="C198" s="8">
        <f>SUM(C196:C197)</f>
        <v>22.544</v>
      </c>
      <c r="D198" s="8">
        <f>SUM(D196:D197)</f>
        <v>16.015000000000001</v>
      </c>
      <c r="E198" s="8">
        <f>SUM(E196:E197)</f>
        <v>78.974000000000004</v>
      </c>
      <c r="F198" s="4"/>
      <c r="G198" s="4"/>
      <c r="H198" s="4"/>
      <c r="M198" s="4"/>
      <c r="N198" s="50"/>
      <c r="O198" s="4"/>
    </row>
    <row r="199" spans="1:15">
      <c r="A199" s="27"/>
      <c r="B199" s="106"/>
      <c r="C199" s="106"/>
      <c r="D199" s="106"/>
      <c r="E199" s="106"/>
      <c r="F199" s="4"/>
      <c r="G199" s="4"/>
      <c r="H199" s="4"/>
      <c r="M199" s="4"/>
      <c r="N199" s="50"/>
      <c r="O199" s="4"/>
    </row>
    <row r="200" spans="1:15">
      <c r="A200" s="107" t="str">
        <f>+IF($E$1=1,M200,IF($E$1=2,N200,O200))</f>
        <v>Konserni</v>
      </c>
      <c r="B200" s="106">
        <f>B198+B194</f>
        <v>39.567</v>
      </c>
      <c r="C200" s="106">
        <f>C198+C194</f>
        <v>39.567</v>
      </c>
      <c r="D200" s="106">
        <f>D198+D194</f>
        <v>132.30200000000002</v>
      </c>
      <c r="E200" s="106">
        <f>E198+E194</f>
        <v>231.13799999999998</v>
      </c>
      <c r="F200" s="4"/>
      <c r="G200" s="4"/>
      <c r="H200" s="4"/>
      <c r="M200" s="4" t="s">
        <v>155</v>
      </c>
      <c r="N200" t="s">
        <v>156</v>
      </c>
      <c r="O200" s="4" t="s">
        <v>157</v>
      </c>
    </row>
    <row r="203" spans="1:15">
      <c r="A203" s="21" t="str">
        <f t="shared" ref="A203:A210" si="14">+IF($E$1=1,M203,IF($E$1=2,N203,O203))</f>
        <v>KOROLLINEN LAINAPÄÄOMA</v>
      </c>
      <c r="B203" s="5"/>
      <c r="C203" s="5"/>
      <c r="D203" s="5"/>
      <c r="E203" s="4"/>
      <c r="F203" s="4"/>
      <c r="G203" s="4"/>
      <c r="H203" s="4"/>
      <c r="M203" s="21" t="s">
        <v>158</v>
      </c>
      <c r="N203" s="38" t="s">
        <v>248</v>
      </c>
      <c r="O203" s="21" t="s">
        <v>159</v>
      </c>
    </row>
    <row r="204" spans="1:15">
      <c r="A204" s="107" t="str">
        <f t="shared" si="14"/>
        <v>MEUR</v>
      </c>
      <c r="B204" s="111" t="str">
        <f>B190</f>
        <v xml:space="preserve"> 1-3/2006</v>
      </c>
      <c r="C204" s="111" t="str">
        <f>C190</f>
        <v xml:space="preserve"> 1-3/2006</v>
      </c>
      <c r="D204" s="111" t="str">
        <f>D190</f>
        <v xml:space="preserve"> 1-3/2005</v>
      </c>
      <c r="E204" s="107">
        <f>+E190</f>
        <v>2005</v>
      </c>
      <c r="F204" s="4"/>
      <c r="G204" s="4"/>
      <c r="H204" s="4"/>
      <c r="M204" s="2" t="s">
        <v>740</v>
      </c>
      <c r="N204" s="2" t="s">
        <v>740</v>
      </c>
      <c r="O204" s="2" t="s">
        <v>740</v>
      </c>
    </row>
    <row r="205" spans="1:15">
      <c r="A205" s="4" t="str">
        <f t="shared" si="14"/>
        <v>Pitkäaikaiset velat</v>
      </c>
      <c r="B205" s="5">
        <v>223.26499999999999</v>
      </c>
      <c r="C205" s="5">
        <v>223.26499999999999</v>
      </c>
      <c r="D205" s="5">
        <v>255.12799999999999</v>
      </c>
      <c r="E205" s="5">
        <v>229.38399999999999</v>
      </c>
      <c r="F205" s="4"/>
      <c r="G205" s="4"/>
      <c r="H205" s="4"/>
      <c r="M205" s="4" t="s">
        <v>26</v>
      </c>
      <c r="N205" t="s">
        <v>27</v>
      </c>
      <c r="O205" s="4" t="s">
        <v>429</v>
      </c>
    </row>
    <row r="206" spans="1:15">
      <c r="A206" s="4" t="str">
        <f t="shared" si="14"/>
        <v>Lyhytaikaiset velat</v>
      </c>
      <c r="B206" s="5">
        <v>352.78199999999998</v>
      </c>
      <c r="C206" s="5">
        <v>352.78199999999998</v>
      </c>
      <c r="D206" s="5">
        <v>164.02099999999999</v>
      </c>
      <c r="E206" s="5">
        <v>174.23699999999999</v>
      </c>
      <c r="F206" s="4"/>
      <c r="G206" s="4"/>
      <c r="H206" s="4"/>
      <c r="M206" s="4" t="s">
        <v>160</v>
      </c>
      <c r="N206" s="51" t="s">
        <v>161</v>
      </c>
      <c r="O206" s="4" t="s">
        <v>598</v>
      </c>
    </row>
    <row r="207" spans="1:15">
      <c r="A207" s="28" t="str">
        <f t="shared" si="14"/>
        <v>Vaihdettava pääomalaina</v>
      </c>
      <c r="B207" s="5"/>
      <c r="C207" s="5"/>
      <c r="D207" s="5"/>
      <c r="E207" s="22"/>
      <c r="F207" s="4"/>
      <c r="G207" s="4"/>
      <c r="H207" s="4"/>
      <c r="M207" s="28" t="s">
        <v>162</v>
      </c>
      <c r="N207" s="50" t="s">
        <v>151</v>
      </c>
      <c r="O207" s="28" t="s">
        <v>163</v>
      </c>
    </row>
    <row r="208" spans="1:15">
      <c r="A208" s="4" t="str">
        <f t="shared" si="14"/>
        <v>Lainasaamiset</v>
      </c>
      <c r="B208" s="5">
        <f>-24.495-1.241</f>
        <v>-25.736000000000001</v>
      </c>
      <c r="C208" s="5">
        <f>-24.495-1.241</f>
        <v>-25.736000000000001</v>
      </c>
      <c r="D208" s="5">
        <v>-7.7549999999999999</v>
      </c>
      <c r="E208" s="5">
        <v>-28.100999999999999</v>
      </c>
      <c r="F208" s="4"/>
      <c r="G208" s="4"/>
      <c r="H208" s="4"/>
      <c r="M208" s="4" t="s">
        <v>84</v>
      </c>
      <c r="N208" t="s">
        <v>85</v>
      </c>
      <c r="O208" s="4" t="s">
        <v>86</v>
      </c>
    </row>
    <row r="209" spans="1:17">
      <c r="A209" s="27" t="str">
        <f t="shared" si="14"/>
        <v>Rahat ja pankkisaamiset</v>
      </c>
      <c r="B209" s="55">
        <f>-20.179-94.661</f>
        <v>-114.84</v>
      </c>
      <c r="C209" s="55">
        <f>-20.179-94.661</f>
        <v>-114.84</v>
      </c>
      <c r="D209" s="55">
        <v>-140.67099999999999</v>
      </c>
      <c r="E209" s="55">
        <f>-19.769-99.88</f>
        <v>-119.649</v>
      </c>
      <c r="F209" s="4"/>
      <c r="G209" s="4"/>
      <c r="H209" s="4"/>
      <c r="M209" s="48" t="s">
        <v>87</v>
      </c>
      <c r="N209" s="7" t="s">
        <v>88</v>
      </c>
      <c r="O209" s="48" t="s">
        <v>89</v>
      </c>
    </row>
    <row r="210" spans="1:17">
      <c r="A210" s="113" t="str">
        <f t="shared" si="14"/>
        <v>Netto</v>
      </c>
      <c r="B210" s="114">
        <f>SUM(B205:B209)</f>
        <v>435.471</v>
      </c>
      <c r="C210" s="114">
        <f>SUM(C205:C209)</f>
        <v>435.471</v>
      </c>
      <c r="D210" s="114">
        <f>SUM(D205:D209)</f>
        <v>270.72300000000001</v>
      </c>
      <c r="E210" s="114">
        <f>SUM(E205:E209)</f>
        <v>255.87099999999998</v>
      </c>
      <c r="F210" s="4"/>
      <c r="G210" s="4"/>
      <c r="H210" s="4"/>
      <c r="M210" s="4" t="s">
        <v>90</v>
      </c>
      <c r="N210" t="s">
        <v>91</v>
      </c>
      <c r="O210" s="4" t="s">
        <v>90</v>
      </c>
    </row>
    <row r="213" spans="1:17">
      <c r="A213" s="119" t="str">
        <f>+IF($E$1=1,M213,IF($E$1=2,N213,O213))</f>
        <v>TUNNUSLUKUJA</v>
      </c>
      <c r="B213" s="5"/>
      <c r="C213" s="5"/>
      <c r="D213" s="5"/>
      <c r="E213" s="4"/>
      <c r="F213" s="4"/>
      <c r="G213" s="4"/>
      <c r="H213" s="4"/>
      <c r="M213" s="21" t="s">
        <v>92</v>
      </c>
      <c r="N213" s="38" t="s">
        <v>93</v>
      </c>
      <c r="O213" s="21" t="s">
        <v>94</v>
      </c>
      <c r="P213" s="4"/>
    </row>
    <row r="214" spans="1:17">
      <c r="A214" s="88"/>
      <c r="B214" s="111" t="str">
        <f>+B204</f>
        <v xml:space="preserve"> 1-3/2006</v>
      </c>
      <c r="C214" s="111" t="str">
        <f>+C204</f>
        <v xml:space="preserve"> 1-3/2006</v>
      </c>
      <c r="D214" s="111" t="str">
        <f>+D204</f>
        <v xml:space="preserve"> 1-3/2005</v>
      </c>
      <c r="E214" s="112">
        <f>+E204</f>
        <v>2005</v>
      </c>
      <c r="F214" s="4"/>
      <c r="G214" s="4"/>
      <c r="H214" s="4"/>
      <c r="P214" s="4"/>
    </row>
    <row r="215" spans="1:17">
      <c r="A215" s="4" t="str">
        <f>+IF($E$1=1,M215,IF($E$1=2,N215,O215))</f>
        <v>Tulos/osake, EUR</v>
      </c>
      <c r="B215" s="6">
        <f>+B28</f>
        <v>0</v>
      </c>
      <c r="C215" s="6">
        <f t="shared" ref="C215:E216" si="15">+C28</f>
        <v>0.55436620609110432</v>
      </c>
      <c r="D215" s="6">
        <f t="shared" si="15"/>
        <v>0.72909999999999997</v>
      </c>
      <c r="E215" s="6">
        <f t="shared" si="15"/>
        <v>1.8</v>
      </c>
      <c r="F215" s="4"/>
      <c r="G215" s="4"/>
      <c r="H215" s="4"/>
      <c r="M215" s="6" t="str">
        <f t="shared" ref="M215:O216" si="16">+M28</f>
        <v>Tulos/osake, EUR</v>
      </c>
      <c r="N215" s="6" t="str">
        <f t="shared" si="16"/>
        <v>Earnings per share, EUR</v>
      </c>
      <c r="O215" s="6" t="str">
        <f t="shared" si="16"/>
        <v>Resultat per aktie, euro</v>
      </c>
      <c r="P215" s="4"/>
    </row>
    <row r="216" spans="1:17">
      <c r="A216" s="4" t="str">
        <f>+IF($E$1=1,M216,IF($E$1=2,N216,O216))</f>
        <v>Laimennettu tulos/osake, EUR</v>
      </c>
      <c r="B216" s="6">
        <f>+B29</f>
        <v>0</v>
      </c>
      <c r="C216" s="6">
        <f t="shared" si="15"/>
        <v>0.55000000000000004</v>
      </c>
      <c r="D216" s="6">
        <f t="shared" si="15"/>
        <v>0.72</v>
      </c>
      <c r="E216" s="6">
        <f t="shared" si="15"/>
        <v>1.78</v>
      </c>
      <c r="F216" s="4"/>
      <c r="G216" s="4"/>
      <c r="H216" s="4"/>
      <c r="M216" s="6" t="str">
        <f t="shared" si="16"/>
        <v>Laimennettu tulos/osake, EUR</v>
      </c>
      <c r="N216" s="6" t="str">
        <f t="shared" si="16"/>
        <v>Diluted earnings per share, EUR</v>
      </c>
      <c r="O216" s="6" t="str">
        <f t="shared" si="16"/>
        <v>Resultat per aktie efter utspädning, euro</v>
      </c>
      <c r="P216" s="4"/>
    </row>
    <row r="217" spans="1:17">
      <c r="A217" s="4" t="str">
        <f>+IF($E$1=1,M217,IF($E$1=2,N217,O217))</f>
        <v>Oma pääoma/osake, EUR</v>
      </c>
      <c r="B217" s="6">
        <v>11.71</v>
      </c>
      <c r="C217" s="6">
        <v>11.71</v>
      </c>
      <c r="D217" s="6">
        <v>10.657999999999999</v>
      </c>
      <c r="E217" s="18">
        <v>12.25</v>
      </c>
      <c r="F217" s="4"/>
      <c r="G217" s="4"/>
      <c r="H217" s="4"/>
      <c r="M217" s="4" t="s">
        <v>95</v>
      </c>
      <c r="N217" t="s">
        <v>96</v>
      </c>
      <c r="O217" s="4" t="s">
        <v>270</v>
      </c>
      <c r="P217" s="4"/>
    </row>
    <row r="218" spans="1:17">
      <c r="A218" s="25" t="str">
        <f>+IF($E$1=1,M218,IF($E$1=2,N218,O218))</f>
        <v>Omavaraisuusaste, %</v>
      </c>
      <c r="B218" s="5">
        <v>41.9</v>
      </c>
      <c r="C218" s="5">
        <v>41.9</v>
      </c>
      <c r="D218" s="5">
        <v>40.167000000000002</v>
      </c>
      <c r="E218" s="8">
        <v>46.6</v>
      </c>
      <c r="F218" s="4"/>
      <c r="G218" s="4"/>
      <c r="H218" s="4"/>
      <c r="I218" t="s">
        <v>592</v>
      </c>
      <c r="M218" s="25" t="s">
        <v>97</v>
      </c>
      <c r="N218" s="52" t="s">
        <v>98</v>
      </c>
      <c r="O218" s="25" t="s">
        <v>271</v>
      </c>
      <c r="P218" s="4"/>
    </row>
    <row r="219" spans="1:17">
      <c r="A219" s="34" t="str">
        <f>+IF($E$1=1,M219,IF($E$1=2,N219,O219))</f>
        <v>Nettovelkaantumisaste</v>
      </c>
      <c r="B219" s="85">
        <v>0.41</v>
      </c>
      <c r="C219" s="85">
        <v>0.41</v>
      </c>
      <c r="D219" s="85">
        <v>0.28000000000000003</v>
      </c>
      <c r="E219" s="89">
        <v>0.24</v>
      </c>
      <c r="F219" s="4"/>
      <c r="G219" s="4"/>
      <c r="H219" s="4"/>
      <c r="M219" s="25" t="s">
        <v>269</v>
      </c>
      <c r="N219" s="52" t="s">
        <v>382</v>
      </c>
      <c r="O219" s="25" t="s">
        <v>272</v>
      </c>
      <c r="P219" s="4"/>
    </row>
    <row r="222" spans="1:17">
      <c r="A222" s="119" t="str">
        <f t="shared" ref="A222:A227" si="17">+IF($E$1=1,M222,IF($E$1=2,N222,O222))</f>
        <v>HENKILÖSTÖ</v>
      </c>
      <c r="M222" s="21" t="s">
        <v>383</v>
      </c>
      <c r="N222" s="38" t="s">
        <v>384</v>
      </c>
      <c r="O222" s="21" t="s">
        <v>385</v>
      </c>
    </row>
    <row r="223" spans="1:17">
      <c r="A223" s="107" t="str">
        <f t="shared" si="17"/>
        <v>Keskimäärin</v>
      </c>
      <c r="B223" s="111" t="str">
        <f>+B214</f>
        <v xml:space="preserve"> 1-3/2006</v>
      </c>
      <c r="C223" s="111" t="str">
        <f>+C214</f>
        <v xml:space="preserve"> 1-3/2006</v>
      </c>
      <c r="D223" s="111" t="str">
        <f>+D214</f>
        <v xml:space="preserve"> 1-3/2005</v>
      </c>
      <c r="E223" s="112">
        <f>+E214</f>
        <v>2005</v>
      </c>
      <c r="F223" s="4"/>
      <c r="G223" s="4"/>
      <c r="H223" s="4"/>
      <c r="M223" s="4" t="s">
        <v>386</v>
      </c>
      <c r="N223" t="s">
        <v>387</v>
      </c>
      <c r="O223" s="4" t="s">
        <v>388</v>
      </c>
      <c r="P223" s="4"/>
      <c r="Q223" s="4"/>
    </row>
    <row r="224" spans="1:17">
      <c r="A224" s="6" t="str">
        <f t="shared" si="17"/>
        <v>Power-liiketoiminnat</v>
      </c>
      <c r="B224" s="115">
        <v>12341</v>
      </c>
      <c r="C224" s="115">
        <v>12341</v>
      </c>
      <c r="D224" s="115">
        <v>10961</v>
      </c>
      <c r="E224" s="116">
        <v>11625</v>
      </c>
      <c r="F224" s="4"/>
      <c r="G224" s="4"/>
      <c r="H224" s="4"/>
      <c r="M224" s="4" t="s">
        <v>558</v>
      </c>
      <c r="N224" t="s">
        <v>131</v>
      </c>
      <c r="O224" s="4" t="s">
        <v>132</v>
      </c>
      <c r="P224" s="4"/>
      <c r="Q224" s="4"/>
    </row>
    <row r="225" spans="1:17">
      <c r="A225" s="28" t="str">
        <f t="shared" si="17"/>
        <v>Imatra Steel</v>
      </c>
      <c r="B225" s="143"/>
      <c r="C225" s="143"/>
      <c r="D225" s="143">
        <v>1270</v>
      </c>
      <c r="E225" s="144">
        <v>424</v>
      </c>
      <c r="F225" s="4"/>
      <c r="G225" s="4"/>
      <c r="H225" s="4"/>
      <c r="M225" s="48" t="s">
        <v>621</v>
      </c>
      <c r="N225" s="48" t="s">
        <v>621</v>
      </c>
      <c r="O225" s="48" t="s">
        <v>621</v>
      </c>
      <c r="P225" s="4"/>
      <c r="Q225" s="4"/>
    </row>
    <row r="226" spans="1:17">
      <c r="A226" s="39" t="str">
        <f t="shared" si="17"/>
        <v>Konserni</v>
      </c>
      <c r="B226" s="143">
        <f>SUM(B224:B225)</f>
        <v>12341</v>
      </c>
      <c r="C226" s="143">
        <f>SUM(C224:C225)</f>
        <v>12341</v>
      </c>
      <c r="D226" s="143">
        <f>SUM(D224:D225)</f>
        <v>12231</v>
      </c>
      <c r="E226" s="144">
        <f>SUM(E224:E225)</f>
        <v>12049</v>
      </c>
      <c r="F226" s="4"/>
      <c r="G226" s="4"/>
      <c r="H226" s="4"/>
      <c r="M226" s="39" t="s">
        <v>155</v>
      </c>
      <c r="N226" s="2" t="s">
        <v>156</v>
      </c>
      <c r="O226" s="6" t="s">
        <v>157</v>
      </c>
      <c r="P226" s="4"/>
      <c r="Q226" s="4"/>
    </row>
    <row r="227" spans="1:17">
      <c r="A227" s="27" t="str">
        <f t="shared" si="17"/>
        <v>Henkilöstö kauden lopussa</v>
      </c>
      <c r="B227" s="117">
        <v>12605</v>
      </c>
      <c r="C227" s="117">
        <v>12605</v>
      </c>
      <c r="D227" s="117">
        <v>12322</v>
      </c>
      <c r="E227" s="118">
        <v>12008</v>
      </c>
      <c r="F227" s="4"/>
      <c r="G227" s="4"/>
      <c r="H227" s="4"/>
      <c r="M227" s="6" t="s">
        <v>389</v>
      </c>
      <c r="N227" s="53" t="s">
        <v>249</v>
      </c>
      <c r="O227" s="6" t="s">
        <v>390</v>
      </c>
      <c r="P227" s="4"/>
      <c r="Q227" s="4"/>
    </row>
    <row r="228" spans="1:17">
      <c r="A228" s="6"/>
      <c r="B228" s="5"/>
      <c r="C228" s="5"/>
      <c r="D228" s="8"/>
      <c r="E228" s="4"/>
      <c r="F228" s="4"/>
      <c r="G228" s="4"/>
      <c r="H228" s="4"/>
      <c r="M228" s="6"/>
      <c r="N228" s="41"/>
      <c r="O228" s="6"/>
      <c r="P228" s="4"/>
      <c r="Q228" s="4"/>
    </row>
    <row r="229" spans="1:17">
      <c r="A229" s="4"/>
      <c r="B229" s="5"/>
      <c r="C229" s="5"/>
      <c r="D229" s="5"/>
      <c r="E229" s="4"/>
      <c r="F229" s="4"/>
      <c r="G229" s="4"/>
      <c r="H229" s="4"/>
      <c r="M229" s="4"/>
      <c r="N229" s="53"/>
      <c r="O229" s="4"/>
      <c r="P229" s="4"/>
      <c r="Q229" s="4"/>
    </row>
    <row r="230" spans="1:17">
      <c r="A230" s="21" t="str">
        <f>+IF($E$1=1,M230,IF($E$1=2,N230,O230))</f>
        <v>VASTUUSITOUMUKSET</v>
      </c>
      <c r="B230" s="5"/>
      <c r="C230" s="5"/>
      <c r="D230" s="5"/>
      <c r="E230" s="4"/>
      <c r="F230" s="4"/>
      <c r="G230" s="4"/>
      <c r="H230" s="4"/>
      <c r="M230" s="21" t="s">
        <v>391</v>
      </c>
      <c r="N230" s="38" t="s">
        <v>692</v>
      </c>
      <c r="O230" s="21" t="s">
        <v>693</v>
      </c>
      <c r="P230" s="4"/>
      <c r="Q230" s="4"/>
    </row>
    <row r="231" spans="1:17">
      <c r="A231" s="107" t="str">
        <f>+IF($E$1=1,M231,IF($E$1=2,N231,O231))</f>
        <v>MEUR</v>
      </c>
      <c r="B231" s="123" t="str">
        <f>+B223</f>
        <v xml:space="preserve"> 1-3/2006</v>
      </c>
      <c r="C231" s="123" t="str">
        <f>+C223</f>
        <v xml:space="preserve"> 1-3/2006</v>
      </c>
      <c r="D231" s="123" t="str">
        <f>+D223</f>
        <v xml:space="preserve"> 1-3/2005</v>
      </c>
      <c r="E231" s="124">
        <f>+E223</f>
        <v>2005</v>
      </c>
      <c r="F231" s="4"/>
      <c r="G231" s="4"/>
      <c r="H231" s="4"/>
      <c r="M231" s="2" t="s">
        <v>740</v>
      </c>
      <c r="N231" s="2" t="s">
        <v>740</v>
      </c>
      <c r="O231" s="2" t="s">
        <v>740</v>
      </c>
      <c r="P231" s="4"/>
      <c r="Q231" s="4"/>
    </row>
    <row r="232" spans="1:17">
      <c r="A232" s="25" t="str">
        <f>+IF($E$1=1,M232,IF($E$1=2,N232,O232))</f>
        <v>Kiinteistökiinnitykset</v>
      </c>
      <c r="B232" s="8">
        <v>15.4</v>
      </c>
      <c r="C232" s="8">
        <v>15.4</v>
      </c>
      <c r="D232" s="8">
        <v>44.5</v>
      </c>
      <c r="E232" s="8">
        <v>15</v>
      </c>
      <c r="F232" s="25"/>
      <c r="G232" s="25"/>
      <c r="H232" s="4"/>
      <c r="M232" s="4" t="s">
        <v>39</v>
      </c>
      <c r="N232" t="s">
        <v>40</v>
      </c>
      <c r="O232" s="4" t="s">
        <v>99</v>
      </c>
      <c r="P232" s="4"/>
      <c r="Q232" s="4"/>
    </row>
    <row r="233" spans="1:17">
      <c r="A233" s="34" t="str">
        <f>+IF($E$1=1,M233,IF($E$1=2,N233,O233))</f>
        <v>Yrityskiinnitykset</v>
      </c>
      <c r="B233" s="106">
        <v>22.8</v>
      </c>
      <c r="C233" s="106">
        <v>22.8</v>
      </c>
      <c r="D233" s="106">
        <v>27.8</v>
      </c>
      <c r="E233" s="106">
        <v>23.1</v>
      </c>
      <c r="F233" s="25"/>
      <c r="G233" s="25"/>
      <c r="H233" s="4"/>
      <c r="M233" s="48" t="s">
        <v>100</v>
      </c>
      <c r="N233" s="54" t="s">
        <v>101</v>
      </c>
      <c r="O233" s="48" t="s">
        <v>102</v>
      </c>
      <c r="P233" s="4"/>
      <c r="Q233" s="4"/>
    </row>
    <row r="234" spans="1:17">
      <c r="A234" s="145" t="str">
        <f>+IF($E$1=1,M234,IF($E$1=2,N234,O234))</f>
        <v>Yhteensä</v>
      </c>
      <c r="B234" s="146">
        <f>SUM(B232:B233)</f>
        <v>38.200000000000003</v>
      </c>
      <c r="C234" s="146">
        <f>SUM(C232:C233)</f>
        <v>38.200000000000003</v>
      </c>
      <c r="D234" s="146">
        <f>SUM(D232:D233)</f>
        <v>72.3</v>
      </c>
      <c r="E234" s="147">
        <f>SUM(E232:E233)</f>
        <v>38.1</v>
      </c>
      <c r="F234" s="25"/>
      <c r="G234" s="25"/>
      <c r="H234" s="4"/>
      <c r="M234" s="4" t="s">
        <v>620</v>
      </c>
      <c r="N234" t="s">
        <v>670</v>
      </c>
      <c r="O234" s="4" t="s">
        <v>262</v>
      </c>
      <c r="P234" s="4"/>
      <c r="Q234" s="4"/>
    </row>
    <row r="235" spans="1:17">
      <c r="A235" s="125"/>
      <c r="B235" s="11"/>
      <c r="C235" s="11"/>
      <c r="D235" s="11"/>
      <c r="E235" s="29"/>
      <c r="F235" s="25"/>
      <c r="G235" s="25"/>
      <c r="H235" s="4"/>
      <c r="M235" s="4"/>
      <c r="O235" s="4"/>
      <c r="P235" s="4"/>
      <c r="Q235" s="4"/>
    </row>
    <row r="236" spans="1:17">
      <c r="A236" s="26" t="str">
        <f t="shared" ref="A236:A242" si="18">+IF($E$1=1,M236,IF($E$1=2,N236,O236))</f>
        <v>Takaukset ja vastuusitoumukset</v>
      </c>
      <c r="B236" s="8"/>
      <c r="C236" s="8"/>
      <c r="D236" s="8"/>
      <c r="E236" s="25"/>
      <c r="F236" s="25"/>
      <c r="G236" s="25"/>
      <c r="H236" s="4"/>
      <c r="M236" s="4" t="s">
        <v>263</v>
      </c>
      <c r="N236" t="s">
        <v>264</v>
      </c>
      <c r="O236" s="4" t="s">
        <v>265</v>
      </c>
      <c r="P236" s="4"/>
      <c r="Q236" s="4"/>
    </row>
    <row r="237" spans="1:17">
      <c r="A237" s="57" t="str">
        <f t="shared" si="18"/>
        <v xml:space="preserve">   Samaan konserniin kuuluvien yritysten puolesta</v>
      </c>
      <c r="B237" s="8">
        <v>298.8</v>
      </c>
      <c r="C237" s="8">
        <v>298.8</v>
      </c>
      <c r="D237" s="8">
        <v>228.4</v>
      </c>
      <c r="E237" s="8">
        <v>290</v>
      </c>
      <c r="F237" s="25"/>
      <c r="G237" s="25"/>
      <c r="H237" s="4"/>
      <c r="M237" s="4" t="s">
        <v>460</v>
      </c>
      <c r="N237" t="s">
        <v>57</v>
      </c>
      <c r="O237" s="4" t="s">
        <v>291</v>
      </c>
      <c r="P237" s="4"/>
      <c r="Q237" s="4"/>
    </row>
    <row r="238" spans="1:17">
      <c r="A238" s="57" t="str">
        <f t="shared" si="18"/>
        <v xml:space="preserve">   Osakkuusyhtiöiden puolesta</v>
      </c>
      <c r="B238" s="8"/>
      <c r="C238" s="8"/>
      <c r="D238" s="8"/>
      <c r="E238" s="25"/>
      <c r="F238" s="25"/>
      <c r="G238" s="25"/>
      <c r="H238" s="4"/>
      <c r="M238" s="4" t="s">
        <v>294</v>
      </c>
      <c r="N238" t="s">
        <v>293</v>
      </c>
      <c r="O238" s="4" t="s">
        <v>292</v>
      </c>
      <c r="P238" s="4"/>
      <c r="Q238" s="4"/>
    </row>
    <row r="239" spans="1:17">
      <c r="A239" s="58" t="str">
        <f t="shared" si="18"/>
        <v xml:space="preserve">   Muiden puolesta</v>
      </c>
      <c r="B239" s="11"/>
      <c r="C239" s="11"/>
      <c r="D239" s="11"/>
      <c r="E239" s="29"/>
      <c r="F239" s="25"/>
      <c r="G239" s="25"/>
      <c r="H239" s="4"/>
      <c r="M239" s="28" t="s">
        <v>295</v>
      </c>
      <c r="N239" s="50" t="s">
        <v>739</v>
      </c>
      <c r="O239" s="28" t="s">
        <v>738</v>
      </c>
      <c r="P239" s="4"/>
      <c r="Q239" s="4"/>
    </row>
    <row r="240" spans="1:17">
      <c r="A240" s="29" t="str">
        <f t="shared" si="18"/>
        <v xml:space="preserve">Leasingvuokrasopimusten mukaisten </v>
      </c>
      <c r="F240" s="25"/>
      <c r="G240" s="25"/>
      <c r="H240" s="4"/>
      <c r="M240" s="48" t="s">
        <v>296</v>
      </c>
      <c r="N240" s="54" t="s">
        <v>298</v>
      </c>
      <c r="O240" s="48" t="s">
        <v>300</v>
      </c>
      <c r="P240" s="4"/>
      <c r="Q240" s="4"/>
    </row>
    <row r="241" spans="1:17">
      <c r="A241" s="34" t="str">
        <f t="shared" si="18"/>
        <v>vuokrien nimellisarvot</v>
      </c>
      <c r="B241" s="106">
        <v>40</v>
      </c>
      <c r="C241" s="106">
        <v>40</v>
      </c>
      <c r="D241" s="106">
        <v>39</v>
      </c>
      <c r="E241" s="34">
        <v>37.4</v>
      </c>
      <c r="F241" s="25"/>
      <c r="G241" s="25"/>
      <c r="H241" s="4"/>
      <c r="M241" s="28" t="s">
        <v>297</v>
      </c>
      <c r="N241" s="50" t="s">
        <v>299</v>
      </c>
      <c r="O241" s="28" t="s">
        <v>301</v>
      </c>
      <c r="P241" s="4"/>
      <c r="Q241" s="4"/>
    </row>
    <row r="242" spans="1:17">
      <c r="A242" s="126" t="str">
        <f t="shared" si="18"/>
        <v>Yhteensä</v>
      </c>
      <c r="B242" s="122">
        <f>SUM(B237:B241)</f>
        <v>338.8</v>
      </c>
      <c r="C242" s="122">
        <f>SUM(C237:C241)</f>
        <v>338.8</v>
      </c>
      <c r="D242" s="122">
        <f>SUM(D237:D241)</f>
        <v>267.39999999999998</v>
      </c>
      <c r="E242" s="122">
        <f>SUM(E237:E241)</f>
        <v>327.39999999999998</v>
      </c>
      <c r="F242" s="25"/>
      <c r="G242" s="25"/>
      <c r="H242" s="4"/>
      <c r="M242" s="4" t="s">
        <v>620</v>
      </c>
      <c r="N242" t="s">
        <v>670</v>
      </c>
      <c r="O242" s="4" t="s">
        <v>262</v>
      </c>
      <c r="P242" s="4"/>
      <c r="Q242" s="4"/>
    </row>
    <row r="243" spans="1:17">
      <c r="A243" s="29"/>
      <c r="B243" s="11"/>
      <c r="C243" s="11"/>
      <c r="D243" s="11"/>
      <c r="E243" s="29"/>
      <c r="F243" s="25"/>
      <c r="G243" s="25"/>
      <c r="H243" s="4"/>
      <c r="M243" s="4"/>
      <c r="O243" s="4"/>
      <c r="P243" s="4"/>
      <c r="Q243" s="4"/>
    </row>
    <row r="244" spans="1:17">
      <c r="A244" s="25"/>
      <c r="B244" s="8"/>
      <c r="C244" s="8"/>
      <c r="D244" s="8"/>
      <c r="E244" s="25"/>
      <c r="F244" s="25"/>
      <c r="G244" s="25"/>
      <c r="H244" s="4"/>
      <c r="M244" s="4"/>
      <c r="O244" s="4"/>
      <c r="P244" s="4"/>
      <c r="Q244" s="4"/>
    </row>
    <row r="245" spans="1:17">
      <c r="A245" s="26" t="str">
        <f t="shared" ref="A245:A253" si="19">+IF($E$1=1,M245,IF($E$1=2,N245,O245))</f>
        <v>JOHDANNAISTEN NIMELLISARVO</v>
      </c>
      <c r="B245" s="8"/>
      <c r="C245" s="8"/>
      <c r="D245" s="8"/>
      <c r="E245" s="25"/>
      <c r="F245" s="25"/>
      <c r="G245" s="25"/>
      <c r="H245" s="4"/>
      <c r="M245" s="21" t="s">
        <v>187</v>
      </c>
      <c r="N245" s="38" t="s">
        <v>188</v>
      </c>
      <c r="O245" s="21" t="s">
        <v>189</v>
      </c>
      <c r="P245" s="4"/>
      <c r="Q245" s="4"/>
    </row>
    <row r="246" spans="1:17">
      <c r="A246" s="121" t="str">
        <f t="shared" si="19"/>
        <v>MEUR</v>
      </c>
      <c r="B246" s="127" t="s">
        <v>595</v>
      </c>
      <c r="C246" s="127" t="s">
        <v>595</v>
      </c>
      <c r="D246" s="104"/>
      <c r="E246" s="104" t="s">
        <v>596</v>
      </c>
      <c r="F246" s="25"/>
      <c r="G246" s="25"/>
      <c r="H246" s="4"/>
      <c r="M246" s="2" t="s">
        <v>740</v>
      </c>
      <c r="N246" s="2" t="s">
        <v>740</v>
      </c>
      <c r="O246" s="2" t="s">
        <v>740</v>
      </c>
      <c r="P246" s="4"/>
      <c r="Q246" s="4"/>
    </row>
    <row r="247" spans="1:17">
      <c r="A247" s="25" t="str">
        <f t="shared" si="19"/>
        <v>Korko-optiot, ostetut</v>
      </c>
      <c r="B247" s="59"/>
      <c r="C247" s="59"/>
      <c r="D247" s="8"/>
      <c r="E247" s="25"/>
      <c r="F247" s="25"/>
      <c r="G247" s="25"/>
      <c r="H247" s="4"/>
      <c r="M247" s="25" t="s">
        <v>190</v>
      </c>
      <c r="N247" t="s">
        <v>191</v>
      </c>
      <c r="O247" s="25" t="s">
        <v>192</v>
      </c>
      <c r="P247" s="4"/>
      <c r="Q247" s="4"/>
    </row>
    <row r="248" spans="1:17">
      <c r="A248" s="25" t="str">
        <f t="shared" si="19"/>
        <v>Korko-optiot, asetetut</v>
      </c>
      <c r="B248" s="59"/>
      <c r="C248" s="59"/>
      <c r="D248" s="8"/>
      <c r="E248" s="25"/>
      <c r="F248" s="25"/>
      <c r="G248" s="25"/>
      <c r="H248" s="4"/>
      <c r="M248" s="25" t="s">
        <v>193</v>
      </c>
      <c r="N248" t="s">
        <v>194</v>
      </c>
      <c r="O248" s="25" t="s">
        <v>195</v>
      </c>
      <c r="P248" s="4"/>
      <c r="Q248" s="4"/>
    </row>
    <row r="249" spans="1:17">
      <c r="A249" s="25" t="str">
        <f t="shared" si="19"/>
        <v>Koronvaihtosopimukset</v>
      </c>
      <c r="B249" s="8">
        <v>180</v>
      </c>
      <c r="C249" s="8">
        <v>180</v>
      </c>
      <c r="D249" s="8"/>
      <c r="E249" s="8"/>
      <c r="F249" s="25"/>
      <c r="G249" s="25"/>
      <c r="H249" s="4"/>
      <c r="M249" s="25" t="s">
        <v>196</v>
      </c>
      <c r="N249" t="s">
        <v>197</v>
      </c>
      <c r="O249" s="25" t="s">
        <v>198</v>
      </c>
      <c r="P249" s="4"/>
      <c r="Q249" s="4"/>
    </row>
    <row r="250" spans="1:17">
      <c r="A250" s="25" t="str">
        <f t="shared" si="19"/>
        <v>Korkofutuurit</v>
      </c>
      <c r="B250" s="8"/>
      <c r="C250" s="8"/>
      <c r="D250" s="8"/>
      <c r="E250" s="79"/>
      <c r="F250" s="25"/>
      <c r="G250" s="25"/>
      <c r="H250" s="4"/>
      <c r="M250" s="25" t="s">
        <v>199</v>
      </c>
      <c r="N250" t="s">
        <v>200</v>
      </c>
      <c r="O250" s="25" t="s">
        <v>535</v>
      </c>
      <c r="P250" s="4"/>
      <c r="Q250" s="4"/>
    </row>
    <row r="251" spans="1:17">
      <c r="A251" s="25" t="str">
        <f t="shared" si="19"/>
        <v>Valuuttatermiinit</v>
      </c>
      <c r="B251" s="81">
        <v>1282.5999999999999</v>
      </c>
      <c r="C251" s="81">
        <v>1282.5999999999999</v>
      </c>
      <c r="D251" s="8"/>
      <c r="E251" s="8">
        <v>242.9</v>
      </c>
      <c r="F251" s="25"/>
      <c r="G251" s="25"/>
      <c r="H251" s="4"/>
      <c r="M251" s="25" t="s">
        <v>837</v>
      </c>
      <c r="N251" t="s">
        <v>602</v>
      </c>
      <c r="O251" s="25" t="s">
        <v>838</v>
      </c>
      <c r="P251" s="4"/>
      <c r="Q251" s="4"/>
    </row>
    <row r="252" spans="1:17">
      <c r="A252" s="25" t="str">
        <f t="shared" si="19"/>
        <v>Valuuttaoptiot, osteutut</v>
      </c>
      <c r="B252" s="8">
        <v>40.700000000000003</v>
      </c>
      <c r="C252" s="8">
        <v>40.700000000000003</v>
      </c>
      <c r="D252" s="8"/>
      <c r="E252" s="79"/>
      <c r="F252" s="25"/>
      <c r="G252" s="25"/>
      <c r="H252" s="4"/>
      <c r="M252" s="25" t="s">
        <v>839</v>
      </c>
      <c r="N252" t="s">
        <v>846</v>
      </c>
      <c r="O252" s="25" t="s">
        <v>847</v>
      </c>
      <c r="P252" s="4"/>
      <c r="Q252" s="4"/>
    </row>
    <row r="253" spans="1:17">
      <c r="A253" s="34" t="str">
        <f t="shared" si="19"/>
        <v>Valuuttaoptiot, asetetut</v>
      </c>
      <c r="B253" s="110">
        <v>41.7</v>
      </c>
      <c r="C253" s="110">
        <v>41.7</v>
      </c>
      <c r="D253" s="106"/>
      <c r="E253" s="34"/>
      <c r="F253" s="25"/>
      <c r="G253" s="25"/>
      <c r="H253" s="4"/>
      <c r="M253" s="25" t="s">
        <v>848</v>
      </c>
      <c r="N253" t="s">
        <v>593</v>
      </c>
      <c r="O253" s="25" t="s">
        <v>594</v>
      </c>
      <c r="P253" s="4"/>
      <c r="Q253" s="4"/>
    </row>
    <row r="254" spans="1:17">
      <c r="A254" s="25"/>
      <c r="B254" s="8"/>
      <c r="C254" s="8"/>
      <c r="D254" s="8"/>
      <c r="E254" s="25"/>
      <c r="F254" s="25"/>
      <c r="G254" s="25"/>
      <c r="H254" s="4"/>
      <c r="M254" s="25"/>
      <c r="O254" s="25"/>
      <c r="P254" s="4"/>
      <c r="Q254" s="4"/>
    </row>
    <row r="256" spans="1:17">
      <c r="A256" s="26" t="str">
        <f>+IF($E$1=1,M256,IF($E$1=2,N256,O256))</f>
        <v>TULOSLASKELMA NELJÄNNEKSITTÄIN</v>
      </c>
      <c r="M256" s="25" t="s">
        <v>302</v>
      </c>
      <c r="N256" t="s">
        <v>303</v>
      </c>
      <c r="O256" s="25" t="s">
        <v>304</v>
      </c>
    </row>
    <row r="257" spans="1:15">
      <c r="A257" s="121" t="str">
        <f>+IF($E$1=1,M257,IF($E$1=2,N257,O257))</f>
        <v>MEUR</v>
      </c>
      <c r="B257" s="109" t="s">
        <v>357</v>
      </c>
      <c r="C257" s="109" t="s">
        <v>357</v>
      </c>
      <c r="D257" s="128" t="s">
        <v>12</v>
      </c>
      <c r="E257" s="109" t="s">
        <v>659</v>
      </c>
      <c r="F257" s="109" t="s">
        <v>660</v>
      </c>
      <c r="G257" s="109" t="s">
        <v>661</v>
      </c>
      <c r="H257" s="108">
        <v>2005</v>
      </c>
      <c r="M257" s="2" t="s">
        <v>740</v>
      </c>
      <c r="N257" s="2" t="s">
        <v>740</v>
      </c>
      <c r="O257" s="2" t="s">
        <v>740</v>
      </c>
    </row>
    <row r="258" spans="1:15">
      <c r="A258" s="25" t="str">
        <f>+IF($E$1=1,M258,IF($E$1=2,N258,O258))</f>
        <v>Liikevaihto</v>
      </c>
      <c r="B258" s="36" t="e">
        <f ca="1">SUM(B259:B260)</f>
        <v>#NAME?</v>
      </c>
      <c r="C258" s="36">
        <f>SUM(C259:C260)</f>
        <v>591.90800000000002</v>
      </c>
      <c r="D258" s="36">
        <f>SUM(D259:D260)-0.34</f>
        <v>570.66800000000001</v>
      </c>
      <c r="E258" s="36">
        <f>SUM(E259:E260)-0.139</f>
        <v>686.79499999999996</v>
      </c>
      <c r="F258" s="36">
        <f>SUM(F259:F260)</f>
        <v>607.84699999999998</v>
      </c>
      <c r="G258" s="36">
        <f>SUM(G259:G260)</f>
        <v>773.50400000000002</v>
      </c>
      <c r="H258" s="36">
        <f>SUM(D258:G258)</f>
        <v>2638.8139999999999</v>
      </c>
      <c r="M258" s="65" t="s">
        <v>613</v>
      </c>
      <c r="N258" s="65" t="s">
        <v>521</v>
      </c>
      <c r="O258" s="65" t="s">
        <v>145</v>
      </c>
    </row>
    <row r="259" spans="1:15">
      <c r="A259" s="25" t="str">
        <f>+IF($E$1=1,M259,IF($E$1=2,N259,O259))</f>
        <v xml:space="preserve">   Power-liiketoiminnat</v>
      </c>
      <c r="B259" s="36" t="e">
        <f ca="1">+B10</f>
        <v>#NAME?</v>
      </c>
      <c r="C259" s="36">
        <f>+C10</f>
        <v>591.90800000000002</v>
      </c>
      <c r="D259" s="36">
        <v>483.74200000000002</v>
      </c>
      <c r="E259" s="36">
        <v>655.23699999999997</v>
      </c>
      <c r="F259" s="36">
        <v>607.84699999999998</v>
      </c>
      <c r="G259" s="36">
        <v>773.50400000000002</v>
      </c>
      <c r="H259" s="36">
        <f>SUM(D259:G259)</f>
        <v>2520.33</v>
      </c>
      <c r="M259" s="4" t="s">
        <v>128</v>
      </c>
      <c r="N259" t="s">
        <v>129</v>
      </c>
      <c r="O259" s="4" t="s">
        <v>130</v>
      </c>
    </row>
    <row r="260" spans="1:15">
      <c r="A260" s="25" t="str">
        <f>+IF($E$1=1,M260,IF($E$1=2,N260,O260))</f>
        <v xml:space="preserve">   Imatra Steel</v>
      </c>
      <c r="B260" s="36"/>
      <c r="C260" s="36"/>
      <c r="D260" s="36">
        <v>87.266000000000005</v>
      </c>
      <c r="E260" s="36">
        <v>31.696999999999999</v>
      </c>
      <c r="F260" s="36"/>
      <c r="G260" s="36"/>
      <c r="H260" s="36">
        <f>SUM(D260:G260)</f>
        <v>118.96300000000001</v>
      </c>
      <c r="M260" s="65" t="s">
        <v>436</v>
      </c>
      <c r="N260" s="65" t="s">
        <v>436</v>
      </c>
      <c r="O260" s="65" t="s">
        <v>436</v>
      </c>
    </row>
    <row r="261" spans="1:15">
      <c r="A261" s="25"/>
      <c r="B261" s="36"/>
      <c r="C261" s="36"/>
      <c r="D261" s="36"/>
      <c r="E261" s="36"/>
      <c r="F261" s="36"/>
      <c r="G261" s="36"/>
      <c r="H261" s="36"/>
      <c r="M261" s="65"/>
      <c r="N261" s="65"/>
      <c r="O261" s="65"/>
    </row>
    <row r="262" spans="1:15">
      <c r="A262" s="25" t="str">
        <f>+IF($E$1=1,M262,IF($E$1=2,N262,O262))</f>
        <v>Liiketulos</v>
      </c>
      <c r="B262" s="36" t="e">
        <f t="shared" ref="B262:G262" ca="1" si="20">SUM(B263:B264)</f>
        <v>#NAME?</v>
      </c>
      <c r="C262" s="36">
        <f t="shared" si="20"/>
        <v>35.920000000000059</v>
      </c>
      <c r="D262" s="36">
        <f t="shared" si="20"/>
        <v>46.358999999999995</v>
      </c>
      <c r="E262" s="36">
        <f t="shared" si="20"/>
        <v>48.412000000000006</v>
      </c>
      <c r="F262" s="36">
        <f t="shared" si="20"/>
        <v>43.457999999999998</v>
      </c>
      <c r="G262" s="36">
        <f t="shared" si="20"/>
        <v>86.091999999999999</v>
      </c>
      <c r="H262" s="36">
        <f>SUM(D262:G262)</f>
        <v>224.32099999999997</v>
      </c>
      <c r="M262" s="65" t="s">
        <v>845</v>
      </c>
      <c r="N262" s="2" t="s">
        <v>184</v>
      </c>
      <c r="O262" s="6" t="s">
        <v>542</v>
      </c>
    </row>
    <row r="263" spans="1:15">
      <c r="A263" s="25" t="str">
        <f>+IF($E$1=1,M263,IF($E$1=2,N263,O263))</f>
        <v xml:space="preserve">   Power-liiketoiminnat</v>
      </c>
      <c r="B263" s="36" t="e">
        <f ca="1">+B14</f>
        <v>#NAME?</v>
      </c>
      <c r="C263" s="36">
        <f>+C14</f>
        <v>35.920000000000059</v>
      </c>
      <c r="D263" s="36">
        <v>29.276</v>
      </c>
      <c r="E263" s="36">
        <f>43.587</f>
        <v>43.587000000000003</v>
      </c>
      <c r="F263" s="36">
        <f>43.552-0.094</f>
        <v>43.457999999999998</v>
      </c>
      <c r="G263" s="36">
        <v>86.091999999999999</v>
      </c>
      <c r="H263" s="36">
        <f>SUM(D263:G263)+0.094</f>
        <v>202.50700000000001</v>
      </c>
      <c r="M263" s="4" t="s">
        <v>128</v>
      </c>
      <c r="N263" t="s">
        <v>129</v>
      </c>
      <c r="O263" s="4" t="s">
        <v>130</v>
      </c>
    </row>
    <row r="264" spans="1:15">
      <c r="A264" s="25" t="str">
        <f>+IF($E$1=1,M264,IF($E$1=2,N264,O264))</f>
        <v xml:space="preserve">   Imatra Steel</v>
      </c>
      <c r="B264" s="36"/>
      <c r="C264" s="36"/>
      <c r="D264" s="36">
        <v>17.082999999999998</v>
      </c>
      <c r="E264" s="36">
        <f>6.29-1.465</f>
        <v>4.8250000000000002</v>
      </c>
      <c r="F264" s="36"/>
      <c r="G264" s="36"/>
      <c r="H264" s="36">
        <f>SUM(D264:G264)-0.094</f>
        <v>21.813999999999997</v>
      </c>
      <c r="M264" s="65" t="s">
        <v>436</v>
      </c>
      <c r="N264" s="65" t="s">
        <v>436</v>
      </c>
      <c r="O264" s="65" t="s">
        <v>436</v>
      </c>
    </row>
    <row r="265" spans="1:15">
      <c r="A265" s="25"/>
      <c r="B265" s="36"/>
      <c r="C265" s="36"/>
      <c r="D265" s="36"/>
      <c r="E265" s="36"/>
      <c r="F265" s="36"/>
      <c r="G265" s="36"/>
      <c r="H265" s="36"/>
      <c r="M265" s="65"/>
      <c r="N265" s="65"/>
      <c r="O265" s="65"/>
    </row>
    <row r="266" spans="1:15">
      <c r="A266" s="25" t="str">
        <f>+IF($E$1=1,M266,IF($E$1=2,N266,O266))</f>
        <v>Rahoitustuotot ja -kulut</v>
      </c>
      <c r="B266" s="36" t="e">
        <f ca="1">+B15</f>
        <v>#NAME?</v>
      </c>
      <c r="C266" s="36">
        <f>+C15</f>
        <v>-2.58</v>
      </c>
      <c r="D266" s="36">
        <f>+D15</f>
        <v>-9.4480000000000004</v>
      </c>
      <c r="E266" s="36">
        <v>-4.9870000000000001</v>
      </c>
      <c r="F266" s="36">
        <v>-9.9429999999999996</v>
      </c>
      <c r="G266" s="36">
        <v>-4.0259999999999998</v>
      </c>
      <c r="H266" s="36">
        <f>SUM(D266:G266)</f>
        <v>-28.404</v>
      </c>
      <c r="M266" s="6" t="s">
        <v>615</v>
      </c>
      <c r="N266" s="2" t="s">
        <v>180</v>
      </c>
      <c r="O266" s="6" t="s">
        <v>147</v>
      </c>
    </row>
    <row r="267" spans="1:15">
      <c r="A267" s="25" t="str">
        <f>+IF($E$1=1,M267,IF($E$1=2,N267,O267))</f>
        <v>Nettovoitot myytävissä olevista sijoituksista</v>
      </c>
      <c r="B267" s="36"/>
      <c r="C267" s="36"/>
      <c r="D267" s="36"/>
      <c r="E267" s="36"/>
      <c r="F267" s="36">
        <v>0.54300000000000004</v>
      </c>
      <c r="G267" s="36"/>
      <c r="H267" s="36">
        <f>SUM(D267:G267)</f>
        <v>0.54300000000000004</v>
      </c>
      <c r="M267" s="65" t="str">
        <f t="shared" ref="M267:O268" si="21">+M16</f>
        <v>Nettovoitot myytävissä olevista sijoituksista</v>
      </c>
      <c r="N267" s="65" t="str">
        <f t="shared" si="21"/>
        <v>Net income from assets available for sale</v>
      </c>
      <c r="O267" s="65" t="str">
        <f t="shared" si="21"/>
        <v>Nettovinst på tillgångar som kan säljas</v>
      </c>
    </row>
    <row r="268" spans="1:15">
      <c r="A268" s="25" t="str">
        <f>+IF($E$1=1,M268,IF($E$1=2,N268,O268))</f>
        <v>Osuus osakkuusyhtiöiden tuloksesta</v>
      </c>
      <c r="B268" s="36" t="e">
        <f ca="1">+B17</f>
        <v>#NAME?</v>
      </c>
      <c r="C268" s="36">
        <f>+C17</f>
        <v>6.657</v>
      </c>
      <c r="D268" s="36">
        <v>0.36199999999999999</v>
      </c>
      <c r="E268" s="36">
        <v>6.7859999999999996</v>
      </c>
      <c r="F268" s="36">
        <v>2.8730000000000002</v>
      </c>
      <c r="G268" s="36">
        <v>0.88900000000000001</v>
      </c>
      <c r="H268" s="36">
        <f>SUM(D268:G268)</f>
        <v>10.91</v>
      </c>
      <c r="M268" s="65" t="str">
        <f t="shared" si="21"/>
        <v>Osuus osakkuusyhtiöiden tuloksesta</v>
      </c>
      <c r="N268" s="65" t="str">
        <f t="shared" si="21"/>
        <v>Share of profit of associates</v>
      </c>
      <c r="O268" s="65" t="str">
        <f t="shared" si="21"/>
        <v>Resultatandel i intresseföretag</v>
      </c>
    </row>
    <row r="269" spans="1:15">
      <c r="A269" s="25"/>
      <c r="B269" s="36"/>
      <c r="C269" s="36"/>
      <c r="D269" s="36"/>
      <c r="E269" s="36"/>
      <c r="F269" s="36"/>
      <c r="G269" s="36"/>
      <c r="H269" s="36"/>
      <c r="M269" s="65"/>
    </row>
    <row r="270" spans="1:15">
      <c r="A270" s="25" t="str">
        <f>+IF($E$1=1,M270,IF($E$1=2,N270,O270))</f>
        <v>Tulos ennen veroja</v>
      </c>
      <c r="B270" s="36" t="e">
        <f t="shared" ref="B270:G270" ca="1" si="22">SUM(B266:B269)+B262</f>
        <v>#NAME?</v>
      </c>
      <c r="C270" s="36">
        <f t="shared" si="22"/>
        <v>39.997000000000057</v>
      </c>
      <c r="D270" s="36">
        <f t="shared" si="22"/>
        <v>37.272999999999996</v>
      </c>
      <c r="E270" s="36">
        <f t="shared" si="22"/>
        <v>50.211000000000006</v>
      </c>
      <c r="F270" s="36">
        <f t="shared" si="22"/>
        <v>36.930999999999997</v>
      </c>
      <c r="G270" s="36">
        <f t="shared" si="22"/>
        <v>82.954999999999998</v>
      </c>
      <c r="H270" s="36">
        <f>SUM(H266:H269)+H262+0.083</f>
        <v>207.45299999999997</v>
      </c>
      <c r="I270" s="35">
        <f>+E18-H270</f>
        <v>4.9049999999993474</v>
      </c>
      <c r="J270" s="35"/>
      <c r="K270" s="35"/>
      <c r="L270" s="35"/>
      <c r="M270" s="65" t="str">
        <f>+M18</f>
        <v>Tulos ennen veroja</v>
      </c>
      <c r="N270" s="65" t="str">
        <f>+N18</f>
        <v>Profit before taxes</v>
      </c>
      <c r="O270" s="65" t="str">
        <f>+O18</f>
        <v>Resultat före skatter</v>
      </c>
    </row>
    <row r="271" spans="1:15">
      <c r="A271" s="25" t="str">
        <f>+IF($E$1=1,M271,IF($E$1=2,N271,O271))</f>
        <v xml:space="preserve">   Power-liiketoiminnat ja Sijoitukset</v>
      </c>
      <c r="B271" s="36">
        <f>40.24+0.709-0.952</f>
        <v>39.997000000000007</v>
      </c>
      <c r="C271" s="36">
        <f>40.24+0.709-0.952</f>
        <v>39.997000000000007</v>
      </c>
      <c r="D271" s="36">
        <v>25.651</v>
      </c>
      <c r="E271" s="36">
        <f>38.605+6.65</f>
        <v>45.254999999999995</v>
      </c>
      <c r="F271" s="36">
        <f>34.889+3.383-1.247-0.094</f>
        <v>36.931000000000004</v>
      </c>
      <c r="G271" s="36">
        <f>82.124+0.831</f>
        <v>82.954999999999998</v>
      </c>
      <c r="H271" s="36">
        <f>SUM(D271:G271)+0.094+0.083</f>
        <v>190.96899999999997</v>
      </c>
      <c r="M271" s="4" t="s">
        <v>67</v>
      </c>
      <c r="N271" s="47" t="s">
        <v>66</v>
      </c>
      <c r="O271" s="4" t="s">
        <v>68</v>
      </c>
    </row>
    <row r="272" spans="1:15">
      <c r="A272" s="25" t="str">
        <f>+IF($E$1=1,M272,IF($E$1=2,N272,O272))</f>
        <v xml:space="preserve">   Imatra Steel</v>
      </c>
      <c r="B272" s="36"/>
      <c r="C272" s="36"/>
      <c r="D272" s="36">
        <v>16.521000000000001</v>
      </c>
      <c r="E272" s="36">
        <f>6.421-1.465</f>
        <v>4.9560000000000004</v>
      </c>
      <c r="F272" s="153">
        <f>-0.094+0.094</f>
        <v>0</v>
      </c>
      <c r="G272" s="36"/>
      <c r="H272" s="36">
        <f>SUM(D272:G272)-0.094</f>
        <v>21.382999999999999</v>
      </c>
      <c r="M272" s="65" t="s">
        <v>436</v>
      </c>
      <c r="N272" s="65" t="s">
        <v>436</v>
      </c>
      <c r="O272" s="65" t="s">
        <v>436</v>
      </c>
    </row>
    <row r="273" spans="1:15">
      <c r="B273" s="36"/>
      <c r="C273" s="36"/>
      <c r="D273" s="36"/>
      <c r="E273" s="36"/>
      <c r="F273" s="36"/>
      <c r="G273" s="36"/>
      <c r="H273" s="36"/>
    </row>
    <row r="274" spans="1:15">
      <c r="A274" s="34" t="str">
        <f>+IF($E$1=1,M274,IF($E$1=2,N274,O274))</f>
        <v>Tulos/osake, EUR</v>
      </c>
      <c r="B274" s="138">
        <v>0.55000000000000004</v>
      </c>
      <c r="C274" s="138">
        <v>0.55000000000000004</v>
      </c>
      <c r="D274" s="138">
        <v>0.33</v>
      </c>
      <c r="E274" s="138">
        <v>0.4</v>
      </c>
      <c r="F274" s="138">
        <v>0.32</v>
      </c>
      <c r="G274" s="138">
        <v>0.75</v>
      </c>
      <c r="H274" s="138">
        <f>SUM(D274:G274)</f>
        <v>1.8</v>
      </c>
      <c r="M274" s="65" t="str">
        <f>+M28</f>
        <v>Tulos/osake, EUR</v>
      </c>
      <c r="N274" s="65" t="str">
        <f>+N28</f>
        <v>Earnings per share, EUR</v>
      </c>
      <c r="O274" s="65" t="str">
        <f>+O28</f>
        <v>Resultat per aktie, euro</v>
      </c>
    </row>
    <row r="276" spans="1:15">
      <c r="B276" s="76" t="e">
        <f ca="1">SUM(B271:B273)-B270</f>
        <v>#NAME?</v>
      </c>
      <c r="C276" s="76">
        <f t="shared" ref="C276:H276" si="23">SUM(C271:C273)-C270</f>
        <v>0</v>
      </c>
      <c r="D276" s="129">
        <f t="shared" si="23"/>
        <v>4.8990000000000009</v>
      </c>
      <c r="E276" s="129">
        <f t="shared" si="23"/>
        <v>0</v>
      </c>
      <c r="F276" s="129">
        <f t="shared" si="23"/>
        <v>0</v>
      </c>
      <c r="G276" s="71">
        <f t="shared" si="23"/>
        <v>0</v>
      </c>
      <c r="H276" s="71">
        <f t="shared" si="23"/>
        <v>4.8990000000000009</v>
      </c>
    </row>
    <row r="278" spans="1:15">
      <c r="D278" s="35"/>
    </row>
    <row r="291" spans="1:13" ht="17.399999999999999">
      <c r="A291" s="150" t="s">
        <v>141</v>
      </c>
      <c r="B291" s="46" t="s">
        <v>46</v>
      </c>
      <c r="C291" s="46" t="s">
        <v>46</v>
      </c>
      <c r="D291" s="46" t="s">
        <v>45</v>
      </c>
      <c r="E291" s="46" t="s">
        <v>44</v>
      </c>
      <c r="F291" s="46" t="s">
        <v>47</v>
      </c>
      <c r="G291" s="46">
        <v>2005</v>
      </c>
      <c r="H291" s="46" t="s">
        <v>43</v>
      </c>
    </row>
    <row r="292" spans="1:13">
      <c r="A292" t="s">
        <v>142</v>
      </c>
      <c r="B292">
        <f t="shared" ref="B292:H292" si="24">SUM(B293:B295)</f>
        <v>46.358999999999995</v>
      </c>
      <c r="C292">
        <f t="shared" si="24"/>
        <v>46.358999999999995</v>
      </c>
      <c r="D292">
        <f t="shared" si="24"/>
        <v>48.412000000000006</v>
      </c>
      <c r="E292">
        <f t="shared" si="24"/>
        <v>43.457999999999998</v>
      </c>
      <c r="F292">
        <f t="shared" si="24"/>
        <v>86.091999999999999</v>
      </c>
      <c r="G292">
        <f t="shared" si="24"/>
        <v>224.321</v>
      </c>
      <c r="H292">
        <f t="shared" si="24"/>
        <v>35.21</v>
      </c>
    </row>
    <row r="293" spans="1:13">
      <c r="A293" t="s">
        <v>165</v>
      </c>
      <c r="B293">
        <v>29.276</v>
      </c>
      <c r="C293">
        <v>29.276</v>
      </c>
      <c r="D293">
        <v>43.587000000000003</v>
      </c>
      <c r="E293">
        <v>43.552</v>
      </c>
      <c r="F293">
        <v>86.091999999999999</v>
      </c>
      <c r="G293">
        <f>SUM(C293:F293)</f>
        <v>202.50700000000001</v>
      </c>
      <c r="H293">
        <v>35.21</v>
      </c>
    </row>
    <row r="294" spans="1:13">
      <c r="A294" t="s">
        <v>166</v>
      </c>
      <c r="B294">
        <v>17.082999999999998</v>
      </c>
      <c r="C294">
        <v>17.082999999999998</v>
      </c>
      <c r="D294">
        <f>6.29-1.465</f>
        <v>4.8250000000000002</v>
      </c>
      <c r="E294">
        <v>-9.4E-2</v>
      </c>
      <c r="G294">
        <f>SUM(C294:F294)</f>
        <v>21.813999999999997</v>
      </c>
    </row>
    <row r="295" spans="1:13">
      <c r="A295" t="s">
        <v>42</v>
      </c>
    </row>
    <row r="297" spans="1:13">
      <c r="A297" t="s">
        <v>48</v>
      </c>
      <c r="B297">
        <f t="shared" ref="B297:H297" si="25">SUM(B298:B300)</f>
        <v>0.36199999999999999</v>
      </c>
      <c r="C297">
        <f t="shared" si="25"/>
        <v>0.36199999999999999</v>
      </c>
      <c r="D297">
        <f t="shared" si="25"/>
        <v>6.7860000000000005</v>
      </c>
      <c r="E297">
        <f t="shared" si="25"/>
        <v>2.8730000000000002</v>
      </c>
      <c r="F297">
        <f t="shared" si="25"/>
        <v>0.88900000000000001</v>
      </c>
      <c r="G297">
        <f t="shared" si="25"/>
        <v>10.909999999999998</v>
      </c>
      <c r="H297">
        <f t="shared" si="25"/>
        <v>6.657</v>
      </c>
    </row>
    <row r="298" spans="1:13">
      <c r="A298" t="s">
        <v>165</v>
      </c>
      <c r="B298">
        <v>0.36199999999999999</v>
      </c>
      <c r="C298">
        <v>0.36199999999999999</v>
      </c>
      <c r="D298">
        <v>0.13600000000000001</v>
      </c>
      <c r="E298">
        <v>-6.0999999999999999E-2</v>
      </c>
      <c r="F298">
        <v>5.8000000000000003E-2</v>
      </c>
      <c r="G298">
        <f>SUM(C298:F298)</f>
        <v>0.495</v>
      </c>
      <c r="H298">
        <f>6.657-H300</f>
        <v>-1.2999999999999901E-2</v>
      </c>
    </row>
    <row r="299" spans="1:13">
      <c r="A299" t="s">
        <v>166</v>
      </c>
      <c r="G299">
        <f>SUM(C299:F299)</f>
        <v>0</v>
      </c>
    </row>
    <row r="300" spans="1:13">
      <c r="A300" t="s">
        <v>42</v>
      </c>
      <c r="D300">
        <v>6.65</v>
      </c>
      <c r="E300">
        <v>2.9340000000000002</v>
      </c>
      <c r="F300">
        <v>0.83099999999999996</v>
      </c>
      <c r="G300">
        <f>SUM(C300:F300)</f>
        <v>10.414999999999999</v>
      </c>
      <c r="H300">
        <v>6.67</v>
      </c>
    </row>
    <row r="302" spans="1:13">
      <c r="A302" t="s">
        <v>49</v>
      </c>
      <c r="B302">
        <f t="shared" ref="B302:H302" si="26">SUM(B303:B305)</f>
        <v>6.0999999999999999E-2</v>
      </c>
      <c r="C302">
        <f t="shared" si="26"/>
        <v>6.0999999999999999E-2</v>
      </c>
      <c r="D302">
        <f t="shared" si="26"/>
        <v>6.625</v>
      </c>
      <c r="E302">
        <f t="shared" si="26"/>
        <v>0.67500000000000004</v>
      </c>
      <c r="F302">
        <f t="shared" si="26"/>
        <v>0.372</v>
      </c>
      <c r="G302">
        <f t="shared" si="26"/>
        <v>7.7329999999999997</v>
      </c>
      <c r="H302">
        <f t="shared" si="26"/>
        <v>8.5999999999999993E-2</v>
      </c>
      <c r="I302" s="152">
        <f>0.543+7.19</f>
        <v>7.7330000000000005</v>
      </c>
      <c r="J302" s="152"/>
      <c r="K302" s="152"/>
      <c r="L302" s="152"/>
      <c r="M302" s="152"/>
    </row>
    <row r="303" spans="1:13">
      <c r="A303" t="s">
        <v>165</v>
      </c>
      <c r="B303">
        <v>5.8999999999999997E-2</v>
      </c>
      <c r="C303">
        <v>5.8999999999999997E-2</v>
      </c>
      <c r="D303">
        <f>6.545-D305-D304+0.08</f>
        <v>0.76799999999999979</v>
      </c>
      <c r="E303">
        <v>0.13200000000000001</v>
      </c>
      <c r="F303">
        <v>0.372</v>
      </c>
      <c r="G303">
        <f>SUM(C303:F303)</f>
        <v>1.3309999999999997</v>
      </c>
      <c r="H303">
        <v>8.5999999999999993E-2</v>
      </c>
      <c r="I303" s="152"/>
      <c r="J303" s="152"/>
      <c r="K303" s="152"/>
      <c r="L303" s="152"/>
      <c r="M303" s="152"/>
    </row>
    <row r="304" spans="1:13">
      <c r="A304" t="s">
        <v>166</v>
      </c>
      <c r="B304">
        <v>2E-3</v>
      </c>
      <c r="C304">
        <v>2E-3</v>
      </c>
      <c r="D304">
        <v>2.7E-2</v>
      </c>
      <c r="G304">
        <f>SUM(C304:F304)</f>
        <v>2.8999999999999998E-2</v>
      </c>
      <c r="I304" s="152"/>
      <c r="J304" s="152"/>
      <c r="K304" s="152"/>
      <c r="L304" s="152"/>
      <c r="M304" s="152"/>
    </row>
    <row r="305" spans="1:13">
      <c r="A305" t="s">
        <v>42</v>
      </c>
      <c r="D305">
        <v>5.83</v>
      </c>
      <c r="E305">
        <v>0.54300000000000004</v>
      </c>
      <c r="G305">
        <f>SUM(C305:F305)</f>
        <v>6.3730000000000002</v>
      </c>
      <c r="I305" s="152"/>
      <c r="J305" s="152"/>
      <c r="K305" s="152"/>
      <c r="L305" s="152"/>
      <c r="M305" s="152"/>
    </row>
    <row r="306" spans="1:13">
      <c r="I306" s="152"/>
      <c r="J306" s="152"/>
      <c r="K306" s="152"/>
      <c r="L306" s="152"/>
      <c r="M306" s="152"/>
    </row>
    <row r="307" spans="1:13">
      <c r="A307" t="s">
        <v>50</v>
      </c>
      <c r="B307" s="3">
        <f t="shared" ref="B307:H307" si="27">SUM(B308:B310)</f>
        <v>-4.6000000000000005</v>
      </c>
      <c r="C307" s="3">
        <f t="shared" si="27"/>
        <v>-4.6000000000000005</v>
      </c>
      <c r="D307">
        <f t="shared" si="27"/>
        <v>-11.613999999999999</v>
      </c>
      <c r="E307">
        <f t="shared" si="27"/>
        <v>-10.074999999999999</v>
      </c>
      <c r="F307">
        <f t="shared" si="27"/>
        <v>-4.3979999999999997</v>
      </c>
      <c r="G307">
        <f t="shared" si="27"/>
        <v>-30.686999999999998</v>
      </c>
      <c r="H307">
        <f t="shared" si="27"/>
        <v>-2.6659999999999999</v>
      </c>
      <c r="I307" s="152">
        <f>0.436+39.768-70.811</f>
        <v>-30.607000000000006</v>
      </c>
      <c r="J307" s="152"/>
      <c r="K307" s="152"/>
      <c r="L307" s="152"/>
      <c r="M307" s="152">
        <f>+I307-G307</f>
        <v>7.9999999999991189E-2</v>
      </c>
    </row>
    <row r="308" spans="1:13">
      <c r="A308" t="s">
        <v>165</v>
      </c>
      <c r="B308">
        <f>0.4+9.479-13.917</f>
        <v>-4.0380000000000003</v>
      </c>
      <c r="C308">
        <f>0.4+9.479-13.917</f>
        <v>-4.0380000000000003</v>
      </c>
      <c r="D308">
        <f>-0.422+0.054+2.329-13.597-0.08-D310</f>
        <v>-11.872999999999999</v>
      </c>
      <c r="E308">
        <f>-10.075-E310</f>
        <v>-10.347</v>
      </c>
      <c r="F308">
        <f>0.457-0.175+1.341-6.021-F310</f>
        <v>-4.6709999999999994</v>
      </c>
      <c r="G308">
        <f>SUM(C308:F308)</f>
        <v>-30.928999999999998</v>
      </c>
      <c r="H308">
        <f>-2.58-H310-H303</f>
        <v>-2.9329999999999998</v>
      </c>
      <c r="I308" s="152"/>
      <c r="J308" s="152"/>
      <c r="K308" s="152"/>
      <c r="L308" s="152"/>
      <c r="M308" s="152"/>
    </row>
    <row r="309" spans="1:13">
      <c r="A309" t="s">
        <v>166</v>
      </c>
      <c r="B309">
        <v>-0.56200000000000006</v>
      </c>
      <c r="C309">
        <v>-0.56200000000000006</v>
      </c>
      <c r="D309">
        <f>0.311-0.207-0.002</f>
        <v>0.10200000000000001</v>
      </c>
      <c r="G309">
        <f>SUM(C309:F309)</f>
        <v>-0.46000000000000008</v>
      </c>
      <c r="I309" s="78">
        <f>0.773-1.233</f>
        <v>-0.46000000000000008</v>
      </c>
      <c r="J309" s="78"/>
      <c r="K309" s="78"/>
      <c r="L309" s="78"/>
      <c r="M309" s="152"/>
    </row>
    <row r="310" spans="1:13">
      <c r="A310" t="s">
        <v>42</v>
      </c>
      <c r="D310">
        <v>0.157</v>
      </c>
      <c r="E310">
        <v>0.27200000000000002</v>
      </c>
      <c r="F310">
        <v>0.27300000000000002</v>
      </c>
      <c r="G310">
        <f>SUM(C310:F310)</f>
        <v>0.70200000000000007</v>
      </c>
      <c r="H310">
        <v>0.26700000000000002</v>
      </c>
    </row>
    <row r="312" spans="1:13">
      <c r="A312" t="s">
        <v>51</v>
      </c>
      <c r="B312" s="3">
        <f t="shared" ref="B312:H312" si="28">SUM(B313:B315)</f>
        <v>42.181999999999995</v>
      </c>
      <c r="C312" s="3">
        <f t="shared" si="28"/>
        <v>42.181999999999995</v>
      </c>
      <c r="D312">
        <f t="shared" si="28"/>
        <v>50.20900000000001</v>
      </c>
      <c r="E312">
        <f t="shared" si="28"/>
        <v>36.930999999999997</v>
      </c>
      <c r="F312">
        <f t="shared" si="28"/>
        <v>82.954999999999998</v>
      </c>
      <c r="G312">
        <f t="shared" si="28"/>
        <v>212.27699999999999</v>
      </c>
      <c r="H312">
        <f t="shared" si="28"/>
        <v>39.286999999999999</v>
      </c>
    </row>
    <row r="313" spans="1:13">
      <c r="A313" t="s">
        <v>165</v>
      </c>
      <c r="B313">
        <f>+B293+B298+B303+B308</f>
        <v>25.658999999999999</v>
      </c>
      <c r="C313">
        <f t="shared" ref="C313:F315" si="29">+C293+C298+C303+C308</f>
        <v>25.658999999999999</v>
      </c>
      <c r="D313">
        <f t="shared" si="29"/>
        <v>32.618000000000009</v>
      </c>
      <c r="E313">
        <f t="shared" si="29"/>
        <v>33.275999999999996</v>
      </c>
      <c r="F313">
        <f t="shared" si="29"/>
        <v>81.850999999999999</v>
      </c>
      <c r="G313">
        <f>SUM(C313:F313)</f>
        <v>173.404</v>
      </c>
      <c r="H313" s="3">
        <f>+H293+H298+H303+H308</f>
        <v>32.35</v>
      </c>
    </row>
    <row r="314" spans="1:13">
      <c r="A314" t="s">
        <v>166</v>
      </c>
      <c r="B314">
        <f>+B294+B299+B304+B309</f>
        <v>16.522999999999996</v>
      </c>
      <c r="C314">
        <f t="shared" si="29"/>
        <v>16.522999999999996</v>
      </c>
      <c r="D314">
        <f t="shared" si="29"/>
        <v>4.9540000000000006</v>
      </c>
      <c r="E314">
        <f t="shared" si="29"/>
        <v>-9.4E-2</v>
      </c>
      <c r="F314">
        <f t="shared" si="29"/>
        <v>0</v>
      </c>
      <c r="G314">
        <f>SUM(C314:F314)</f>
        <v>21.382999999999996</v>
      </c>
      <c r="H314">
        <f>+H294+H299+H304+H309</f>
        <v>0</v>
      </c>
    </row>
    <row r="315" spans="1:13">
      <c r="A315" t="s">
        <v>42</v>
      </c>
      <c r="B315">
        <f>+B295+B300+B305+B310</f>
        <v>0</v>
      </c>
      <c r="C315">
        <f t="shared" si="29"/>
        <v>0</v>
      </c>
      <c r="D315">
        <f t="shared" si="29"/>
        <v>12.637</v>
      </c>
      <c r="E315">
        <f t="shared" si="29"/>
        <v>3.7490000000000006</v>
      </c>
      <c r="F315">
        <f t="shared" si="29"/>
        <v>1.1040000000000001</v>
      </c>
      <c r="G315">
        <f>SUM(C315:F315)</f>
        <v>17.490000000000002</v>
      </c>
      <c r="H315">
        <f>+H295+H300+H305+H310</f>
        <v>6.9370000000000003</v>
      </c>
    </row>
    <row r="317" spans="1:13">
      <c r="G317" s="151">
        <f>+G312-H270</f>
        <v>4.8240000000000123</v>
      </c>
    </row>
    <row r="318" spans="1:13">
      <c r="G318" s="151">
        <f>+G313+G315-H271</f>
        <v>-7.499999999996021E-2</v>
      </c>
    </row>
    <row r="319" spans="1:13">
      <c r="G319" s="151">
        <f>+G314-H272</f>
        <v>0</v>
      </c>
    </row>
    <row r="325" spans="1:5">
      <c r="A325" t="s">
        <v>510</v>
      </c>
    </row>
    <row r="327" spans="1:5">
      <c r="A327" t="s">
        <v>600</v>
      </c>
    </row>
    <row r="328" spans="1:5">
      <c r="A328" t="s">
        <v>511</v>
      </c>
    </row>
    <row r="329" spans="1:5">
      <c r="A329" t="s">
        <v>599</v>
      </c>
    </row>
    <row r="330" spans="1:5">
      <c r="A330" t="s">
        <v>854</v>
      </c>
    </row>
    <row r="332" spans="1:5">
      <c r="A332" t="s">
        <v>52</v>
      </c>
      <c r="B332" t="s">
        <v>357</v>
      </c>
      <c r="C332" t="s">
        <v>357</v>
      </c>
      <c r="D332" t="s">
        <v>12</v>
      </c>
      <c r="E332">
        <v>2005</v>
      </c>
    </row>
    <row r="334" spans="1:5">
      <c r="A334" t="s">
        <v>53</v>
      </c>
      <c r="B334">
        <v>591.9</v>
      </c>
      <c r="C334">
        <v>591.9</v>
      </c>
      <c r="D334">
        <v>483.8</v>
      </c>
      <c r="E334">
        <v>2520.3000000000002</v>
      </c>
    </row>
    <row r="335" spans="1:5">
      <c r="A335" t="s">
        <v>845</v>
      </c>
      <c r="B335">
        <v>35.9</v>
      </c>
      <c r="C335">
        <v>35.9</v>
      </c>
      <c r="D335">
        <v>29.3</v>
      </c>
      <c r="E335">
        <v>202.5</v>
      </c>
    </row>
    <row r="336" spans="1:5">
      <c r="A336" t="s">
        <v>622</v>
      </c>
      <c r="B336" s="148">
        <f>+B271</f>
        <v>39.997000000000007</v>
      </c>
      <c r="C336" s="148">
        <f>+C271</f>
        <v>39.997000000000007</v>
      </c>
      <c r="D336" s="36">
        <f>+D271</f>
        <v>25.651</v>
      </c>
      <c r="E336" s="36">
        <f>+H271</f>
        <v>190.96899999999997</v>
      </c>
    </row>
    <row r="338" spans="1:8">
      <c r="A338" t="s">
        <v>543</v>
      </c>
      <c r="B338">
        <v>0.55000000000000004</v>
      </c>
      <c r="C338">
        <v>0.55000000000000004</v>
      </c>
      <c r="D338">
        <v>0.33</v>
      </c>
      <c r="E338" s="65">
        <v>1.8</v>
      </c>
    </row>
    <row r="339" spans="1:8">
      <c r="A339" t="s">
        <v>855</v>
      </c>
      <c r="B339">
        <v>435.5</v>
      </c>
      <c r="C339">
        <v>435.5</v>
      </c>
      <c r="D339">
        <v>270.7</v>
      </c>
      <c r="E339">
        <v>255.9</v>
      </c>
    </row>
    <row r="340" spans="1:8">
      <c r="A340" t="s">
        <v>856</v>
      </c>
      <c r="B340">
        <v>39.6</v>
      </c>
      <c r="C340">
        <v>39.6</v>
      </c>
      <c r="D340">
        <v>132.30000000000001</v>
      </c>
      <c r="E340">
        <v>231.1</v>
      </c>
    </row>
    <row r="346" spans="1:8">
      <c r="A346" s="38" t="s">
        <v>509</v>
      </c>
    </row>
    <row r="348" spans="1:8">
      <c r="A348" s="26"/>
    </row>
    <row r="349" spans="1:8">
      <c r="A349" s="121" t="s">
        <v>302</v>
      </c>
      <c r="B349" s="109"/>
      <c r="C349" s="109"/>
      <c r="D349" s="128"/>
      <c r="E349" s="109"/>
      <c r="F349" s="109"/>
      <c r="G349" s="109"/>
      <c r="H349" s="108"/>
    </row>
    <row r="350" spans="1:8">
      <c r="A350" s="25" t="s">
        <v>671</v>
      </c>
      <c r="B350" s="36" t="s">
        <v>357</v>
      </c>
      <c r="C350" s="36" t="s">
        <v>357</v>
      </c>
      <c r="D350" s="36" t="s">
        <v>12</v>
      </c>
      <c r="E350" s="36" t="s">
        <v>659</v>
      </c>
      <c r="F350" s="36" t="s">
        <v>660</v>
      </c>
      <c r="G350" s="36" t="s">
        <v>661</v>
      </c>
      <c r="H350" s="149">
        <v>2005</v>
      </c>
    </row>
    <row r="351" spans="1:8">
      <c r="A351" s="25" t="s">
        <v>613</v>
      </c>
      <c r="B351" s="36">
        <v>591.90800000000002</v>
      </c>
      <c r="C351" s="36">
        <v>591.90800000000002</v>
      </c>
      <c r="D351" s="36">
        <v>570.66800000000001</v>
      </c>
      <c r="E351" s="36">
        <v>686.79499999999996</v>
      </c>
      <c r="F351" s="36">
        <v>607.84699999999998</v>
      </c>
      <c r="G351" s="36">
        <v>773.50400000000002</v>
      </c>
      <c r="H351" s="36">
        <v>2638.8139999999999</v>
      </c>
    </row>
    <row r="352" spans="1:8">
      <c r="A352" s="25" t="s">
        <v>128</v>
      </c>
      <c r="B352" s="36">
        <v>591.90800000000002</v>
      </c>
      <c r="C352" s="36">
        <v>591.90800000000002</v>
      </c>
      <c r="D352" s="36">
        <v>483.74200000000002</v>
      </c>
      <c r="E352" s="36">
        <v>655.23699999999997</v>
      </c>
      <c r="F352" s="36">
        <v>607.84699999999998</v>
      </c>
      <c r="G352" s="36">
        <v>773.50400000000002</v>
      </c>
      <c r="H352" s="36">
        <v>2520.33</v>
      </c>
    </row>
    <row r="353" spans="1:8">
      <c r="A353" s="25" t="s">
        <v>436</v>
      </c>
      <c r="B353" s="36"/>
      <c r="C353" s="36"/>
      <c r="D353" s="36">
        <v>87.266000000000005</v>
      </c>
      <c r="E353" s="36">
        <v>31.696999999999999</v>
      </c>
      <c r="F353" s="36"/>
      <c r="G353" s="36"/>
      <c r="H353" s="36">
        <v>118.96300000000001</v>
      </c>
    </row>
    <row r="354" spans="1:8">
      <c r="A354" s="25"/>
      <c r="B354" s="36"/>
      <c r="C354" s="36"/>
      <c r="D354" s="36"/>
      <c r="E354" s="36"/>
      <c r="F354" s="36"/>
      <c r="G354" s="36"/>
      <c r="H354" s="36"/>
    </row>
    <row r="355" spans="1:8">
      <c r="A355" s="25" t="s">
        <v>845</v>
      </c>
      <c r="B355" s="36">
        <v>35.920000000000059</v>
      </c>
      <c r="C355" s="36">
        <v>35.920000000000059</v>
      </c>
      <c r="D355" s="36">
        <v>46.358999999999995</v>
      </c>
      <c r="E355" s="36">
        <v>48.412000000000006</v>
      </c>
      <c r="F355" s="36">
        <v>43.457999999999998</v>
      </c>
      <c r="G355" s="36">
        <v>86.091999999999999</v>
      </c>
      <c r="H355" s="36">
        <v>224.32099999999997</v>
      </c>
    </row>
    <row r="356" spans="1:8">
      <c r="A356" s="25" t="s">
        <v>128</v>
      </c>
      <c r="B356" s="36">
        <v>35.920000000000059</v>
      </c>
      <c r="C356" s="36">
        <v>35.920000000000059</v>
      </c>
      <c r="D356" s="36">
        <v>29.276</v>
      </c>
      <c r="E356" s="36">
        <v>43.587000000000003</v>
      </c>
      <c r="F356" s="36">
        <v>43.457999999999998</v>
      </c>
      <c r="G356" s="36">
        <v>86.091999999999999</v>
      </c>
      <c r="H356" s="36">
        <v>202.50700000000001</v>
      </c>
    </row>
    <row r="357" spans="1:8">
      <c r="A357" s="25" t="s">
        <v>436</v>
      </c>
      <c r="B357" s="36"/>
      <c r="C357" s="36"/>
      <c r="D357" s="36">
        <v>17.082999999999998</v>
      </c>
      <c r="E357" s="36">
        <v>4.8250000000000002</v>
      </c>
      <c r="F357" s="36"/>
      <c r="G357" s="36"/>
      <c r="H357" s="36">
        <v>21.813999999999997</v>
      </c>
    </row>
    <row r="358" spans="1:8">
      <c r="A358" s="25"/>
      <c r="B358" s="36"/>
      <c r="C358" s="36"/>
      <c r="D358" s="36"/>
      <c r="E358" s="36"/>
      <c r="F358" s="36"/>
      <c r="G358" s="36"/>
      <c r="H358" s="36"/>
    </row>
    <row r="359" spans="1:8">
      <c r="A359" s="25" t="s">
        <v>615</v>
      </c>
      <c r="B359" s="36">
        <v>-2.58</v>
      </c>
      <c r="C359" s="36">
        <v>-2.58</v>
      </c>
      <c r="D359" s="36">
        <v>-4.5430000000000001</v>
      </c>
      <c r="E359" s="36">
        <v>-4.9870000000000001</v>
      </c>
      <c r="F359" s="36">
        <v>-9.9429999999999996</v>
      </c>
      <c r="G359" s="36">
        <v>-4.0259999999999998</v>
      </c>
      <c r="H359" s="36">
        <v>-23.498999999999999</v>
      </c>
    </row>
    <row r="360" spans="1:8">
      <c r="A360" s="25" t="s">
        <v>69</v>
      </c>
      <c r="B360" s="36"/>
      <c r="C360" s="36"/>
      <c r="D360" s="36"/>
      <c r="E360" s="36"/>
      <c r="F360" s="36">
        <v>0.54300000000000004</v>
      </c>
      <c r="G360" s="36"/>
      <c r="H360" s="36">
        <v>0.54300000000000004</v>
      </c>
    </row>
    <row r="361" spans="1:8">
      <c r="A361" s="25" t="s">
        <v>766</v>
      </c>
      <c r="B361" s="36">
        <v>6.657</v>
      </c>
      <c r="C361" s="36">
        <v>6.657</v>
      </c>
      <c r="D361" s="36">
        <v>0.36199999999999999</v>
      </c>
      <c r="E361" s="36">
        <v>6.7859999999999996</v>
      </c>
      <c r="F361" s="36">
        <v>2.8730000000000002</v>
      </c>
      <c r="G361" s="36">
        <v>0.88900000000000001</v>
      </c>
      <c r="H361" s="36">
        <v>10.91</v>
      </c>
    </row>
    <row r="362" spans="1:8">
      <c r="A362" s="25"/>
      <c r="B362" s="36"/>
      <c r="C362" s="36"/>
      <c r="D362" s="36"/>
      <c r="E362" s="36"/>
      <c r="F362" s="36"/>
      <c r="G362" s="36"/>
      <c r="H362" s="36"/>
    </row>
    <row r="363" spans="1:8">
      <c r="A363" s="25" t="s">
        <v>622</v>
      </c>
      <c r="B363" s="36">
        <v>39.997000000000057</v>
      </c>
      <c r="C363" s="36">
        <v>39.997000000000057</v>
      </c>
      <c r="D363" s="36">
        <v>42.177999999999997</v>
      </c>
      <c r="E363" s="36">
        <v>50.211000000000006</v>
      </c>
      <c r="F363" s="36">
        <v>36.930999999999997</v>
      </c>
      <c r="G363" s="36">
        <v>82.954999999999998</v>
      </c>
      <c r="H363" s="36">
        <v>212.27500000000001</v>
      </c>
    </row>
    <row r="364" spans="1:8">
      <c r="A364" s="25" t="s">
        <v>67</v>
      </c>
      <c r="B364" s="36">
        <v>39.997000000000007</v>
      </c>
      <c r="C364" s="36">
        <v>39.997000000000007</v>
      </c>
      <c r="D364" s="36">
        <v>25.651</v>
      </c>
      <c r="E364" s="36">
        <v>45.255000000000003</v>
      </c>
      <c r="F364" s="36">
        <v>37.024999999999999</v>
      </c>
      <c r="G364" s="36">
        <v>82.954999999999998</v>
      </c>
      <c r="H364" s="36">
        <v>190.886</v>
      </c>
    </row>
    <row r="365" spans="1:8">
      <c r="A365" t="s">
        <v>436</v>
      </c>
      <c r="B365" s="36"/>
      <c r="C365" s="36"/>
      <c r="D365" s="36">
        <v>16.521000000000001</v>
      </c>
      <c r="E365" s="36">
        <v>4.9560000000000004</v>
      </c>
      <c r="F365" s="36">
        <v>-9.4E-2</v>
      </c>
      <c r="G365" s="36"/>
      <c r="H365" s="36">
        <v>21.382999999999999</v>
      </c>
    </row>
    <row r="366" spans="1:8">
      <c r="A366" s="34"/>
      <c r="B366" s="138"/>
      <c r="C366" s="138"/>
      <c r="D366" s="138"/>
      <c r="E366" s="138"/>
      <c r="F366" s="138"/>
      <c r="G366" s="138"/>
      <c r="H366" s="138"/>
    </row>
    <row r="367" spans="1:8">
      <c r="A367" t="s">
        <v>320</v>
      </c>
      <c r="B367">
        <v>0.55000000000000004</v>
      </c>
      <c r="C367">
        <v>0.55000000000000004</v>
      </c>
      <c r="D367">
        <v>0.33</v>
      </c>
      <c r="E367">
        <v>0.4</v>
      </c>
      <c r="F367">
        <v>0.32</v>
      </c>
      <c r="G367">
        <v>0.75</v>
      </c>
      <c r="H367">
        <v>1.8</v>
      </c>
    </row>
  </sheetData>
  <phoneticPr fontId="0" type="noConversion"/>
  <pageMargins left="0.75" right="0.75" top="1" bottom="1" header="0.5" footer="0.5"/>
  <pageSetup paperSize="9" scale="85" orientation="portrait" r:id="rId1"/>
  <headerFooter alignWithMargins="0"/>
  <rowBreaks count="3" manualBreakCount="3">
    <brk id="74" max="7" man="1"/>
    <brk id="149" max="7" man="1"/>
    <brk id="221" max="7" man="1"/>
  </rowBreaks>
  <legacyDrawing r:id="rId2"/>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
  <sheetViews>
    <sheetView workbookViewId="0">
      <selection activeCell="R1" sqref="R1:XFD1048576"/>
    </sheetView>
  </sheetViews>
  <sheetFormatPr defaultColWidth="8.7109375" defaultRowHeight="10.199999999999999"/>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Q39"/>
  <sheetViews>
    <sheetView zoomScaleNormal="100" workbookViewId="0">
      <selection sqref="A1:F1"/>
    </sheetView>
  </sheetViews>
  <sheetFormatPr defaultColWidth="37.42578125" defaultRowHeight="12" customHeight="1"/>
  <cols>
    <col min="1" max="1" width="2.42578125" style="240" customWidth="1"/>
    <col min="2" max="2" width="74.140625" style="215" customWidth="1"/>
    <col min="3" max="4" width="18.28515625" style="217" customWidth="1"/>
    <col min="5" max="5" width="8.28515625" style="217" customWidth="1"/>
    <col min="6" max="6" width="8.28515625" style="205" customWidth="1"/>
    <col min="7" max="17" width="3.7109375" style="205" customWidth="1"/>
    <col min="18" max="16384" width="37.42578125" style="240"/>
  </cols>
  <sheetData>
    <row r="1" spans="1:17" ht="15.75" customHeight="1">
      <c r="A1" s="1151" t="s">
        <v>392</v>
      </c>
      <c r="B1" s="1151"/>
      <c r="C1" s="1151"/>
      <c r="D1" s="1151"/>
      <c r="E1" s="1151"/>
      <c r="F1" s="1151"/>
    </row>
    <row r="2" spans="1:17" ht="11.25" customHeight="1">
      <c r="A2" s="484"/>
      <c r="B2" s="206"/>
      <c r="C2" s="483"/>
      <c r="D2" s="483"/>
      <c r="E2" s="742"/>
      <c r="F2" s="808"/>
    </row>
    <row r="3" spans="1:17" ht="11.25" customHeight="1">
      <c r="A3" s="484"/>
      <c r="B3" s="206"/>
      <c r="C3" s="483"/>
      <c r="D3" s="489" t="s">
        <v>1025</v>
      </c>
      <c r="E3" s="742"/>
      <c r="F3" s="808"/>
      <c r="G3" s="976"/>
      <c r="H3" s="976"/>
      <c r="I3" s="976"/>
      <c r="J3" s="976"/>
      <c r="K3" s="976"/>
      <c r="L3" s="976"/>
      <c r="M3" s="976"/>
      <c r="N3" s="976"/>
      <c r="O3" s="976"/>
      <c r="P3" s="976"/>
      <c r="Q3" s="976"/>
    </row>
    <row r="4" spans="1:17" s="1084" customFormat="1" ht="11.25" customHeight="1">
      <c r="A4" s="1145" t="s">
        <v>740</v>
      </c>
      <c r="B4" s="1145"/>
      <c r="C4" s="620">
        <v>2018</v>
      </c>
      <c r="D4" s="525">
        <v>2017</v>
      </c>
      <c r="E4" s="1162" t="s">
        <v>647</v>
      </c>
      <c r="F4" s="1162"/>
      <c r="G4" s="205"/>
      <c r="H4" s="205"/>
      <c r="I4" s="205"/>
      <c r="J4" s="205"/>
      <c r="K4" s="205"/>
      <c r="L4" s="205"/>
      <c r="M4" s="205"/>
      <c r="N4" s="205"/>
      <c r="O4" s="205"/>
      <c r="P4" s="205"/>
      <c r="Q4" s="205"/>
    </row>
    <row r="5" spans="1:17" s="1082" customFormat="1" ht="12" customHeight="1">
      <c r="A5" s="1159" t="s">
        <v>613</v>
      </c>
      <c r="B5" s="1159"/>
      <c r="C5" s="621">
        <v>5174</v>
      </c>
      <c r="D5" s="424">
        <v>4911</v>
      </c>
      <c r="E5" s="743">
        <v>1</v>
      </c>
      <c r="F5" s="1099">
        <v>4</v>
      </c>
      <c r="G5" s="205"/>
      <c r="H5" s="205"/>
      <c r="I5" s="205"/>
      <c r="J5" s="205"/>
      <c r="K5" s="205"/>
      <c r="L5" s="205"/>
      <c r="M5" s="205"/>
      <c r="N5" s="205"/>
      <c r="O5" s="205"/>
      <c r="P5" s="205"/>
      <c r="Q5" s="205"/>
    </row>
    <row r="6" spans="1:17" s="1082" customFormat="1" ht="11.25" customHeight="1">
      <c r="A6" s="1121" t="s">
        <v>54</v>
      </c>
      <c r="B6" s="1121"/>
      <c r="C6" s="638">
        <v>64</v>
      </c>
      <c r="D6" s="424">
        <v>28</v>
      </c>
      <c r="E6" s="502"/>
      <c r="F6" s="486"/>
      <c r="G6" s="205"/>
      <c r="H6" s="205"/>
      <c r="I6" s="205"/>
      <c r="J6" s="205"/>
      <c r="K6" s="205"/>
      <c r="L6" s="205"/>
      <c r="M6" s="205"/>
      <c r="N6" s="205"/>
      <c r="O6" s="205"/>
      <c r="P6" s="205"/>
      <c r="Q6" s="205"/>
    </row>
    <row r="7" spans="1:17" s="1082" customFormat="1" ht="12" customHeight="1">
      <c r="A7" s="1154" t="s">
        <v>830</v>
      </c>
      <c r="B7" s="1154"/>
      <c r="C7" s="621">
        <v>14</v>
      </c>
      <c r="D7" s="424">
        <v>12</v>
      </c>
      <c r="E7" s="502"/>
      <c r="F7" s="486"/>
      <c r="G7" s="205"/>
      <c r="H7" s="205"/>
      <c r="I7" s="205"/>
      <c r="J7" s="205"/>
      <c r="K7" s="205"/>
      <c r="L7" s="205"/>
      <c r="M7" s="205"/>
      <c r="N7" s="205"/>
      <c r="O7" s="205"/>
      <c r="P7" s="205"/>
      <c r="Q7" s="205"/>
    </row>
    <row r="8" spans="1:17" s="1082" customFormat="1" ht="12" customHeight="1">
      <c r="A8" s="1153" t="s">
        <v>831</v>
      </c>
      <c r="B8" s="1153"/>
      <c r="C8" s="621">
        <v>80</v>
      </c>
      <c r="D8" s="424">
        <v>60</v>
      </c>
      <c r="E8" s="502"/>
      <c r="F8" s="1099">
        <v>5</v>
      </c>
      <c r="G8" s="205"/>
      <c r="H8" s="205"/>
      <c r="I8" s="205"/>
      <c r="J8" s="205"/>
      <c r="K8" s="205"/>
      <c r="L8" s="205"/>
      <c r="M8" s="205"/>
      <c r="N8" s="205"/>
      <c r="O8" s="205"/>
      <c r="P8" s="205"/>
      <c r="Q8" s="205"/>
    </row>
    <row r="9" spans="1:17" s="1082" customFormat="1" ht="12" customHeight="1">
      <c r="A9" s="1156"/>
      <c r="B9" s="1156"/>
      <c r="C9" s="621"/>
      <c r="D9" s="424"/>
      <c r="E9" s="502"/>
      <c r="F9" s="486"/>
      <c r="G9" s="205"/>
      <c r="H9" s="205"/>
      <c r="I9" s="205"/>
      <c r="J9" s="205"/>
      <c r="K9" s="205"/>
      <c r="L9" s="205"/>
      <c r="M9" s="205"/>
      <c r="N9" s="205"/>
      <c r="O9" s="205"/>
      <c r="P9" s="205"/>
      <c r="Q9" s="205"/>
    </row>
    <row r="10" spans="1:17" s="1082" customFormat="1" ht="12" customHeight="1">
      <c r="A10" s="1153" t="s">
        <v>832</v>
      </c>
      <c r="B10" s="1153"/>
      <c r="C10" s="621">
        <v>-2852</v>
      </c>
      <c r="D10" s="424">
        <v>-2561</v>
      </c>
      <c r="E10" s="502"/>
      <c r="F10" s="1099">
        <v>6</v>
      </c>
      <c r="G10" s="205"/>
      <c r="H10" s="205"/>
      <c r="I10" s="205"/>
      <c r="J10" s="205"/>
      <c r="K10" s="205"/>
      <c r="L10" s="205"/>
      <c r="M10" s="205"/>
      <c r="N10" s="205"/>
      <c r="O10" s="205"/>
      <c r="P10" s="205"/>
      <c r="Q10" s="205"/>
    </row>
    <row r="11" spans="1:17" s="1082" customFormat="1" ht="12" customHeight="1">
      <c r="A11" s="1127" t="s">
        <v>833</v>
      </c>
      <c r="B11" s="1127"/>
      <c r="C11" s="621">
        <v>-1175</v>
      </c>
      <c r="D11" s="424">
        <v>-1214</v>
      </c>
      <c r="E11" s="502"/>
      <c r="F11" s="1099">
        <v>7</v>
      </c>
      <c r="G11" s="205"/>
      <c r="H11" s="205"/>
      <c r="I11" s="205"/>
      <c r="J11" s="205"/>
      <c r="K11" s="205"/>
      <c r="L11" s="205"/>
      <c r="M11" s="205"/>
      <c r="N11" s="205"/>
      <c r="O11" s="205"/>
      <c r="P11" s="205"/>
      <c r="Q11" s="205"/>
    </row>
    <row r="12" spans="1:17" s="1082" customFormat="1" ht="12" customHeight="1">
      <c r="A12" s="1161" t="s">
        <v>623</v>
      </c>
      <c r="B12" s="1161"/>
      <c r="C12" s="630">
        <v>-130</v>
      </c>
      <c r="D12" s="502">
        <v>-134</v>
      </c>
      <c r="E12" s="502"/>
      <c r="F12" s="1099">
        <v>8</v>
      </c>
      <c r="G12" s="205"/>
      <c r="H12" s="205"/>
      <c r="I12" s="205"/>
      <c r="J12" s="205"/>
      <c r="K12" s="205"/>
      <c r="L12" s="205"/>
      <c r="M12" s="205"/>
      <c r="N12" s="205"/>
      <c r="O12" s="205"/>
      <c r="P12" s="205"/>
      <c r="Q12" s="205"/>
    </row>
    <row r="13" spans="1:17" s="1082" customFormat="1" ht="12" customHeight="1">
      <c r="A13" s="1153" t="s">
        <v>454</v>
      </c>
      <c r="B13" s="1153"/>
      <c r="C13" s="621">
        <v>-648</v>
      </c>
      <c r="D13" s="424">
        <v>-577</v>
      </c>
      <c r="E13" s="502"/>
      <c r="F13" s="1099">
        <v>9</v>
      </c>
      <c r="G13" s="205"/>
      <c r="H13" s="205"/>
      <c r="I13" s="205"/>
      <c r="J13" s="205"/>
      <c r="K13" s="205"/>
      <c r="L13" s="205"/>
      <c r="M13" s="205"/>
      <c r="N13" s="205"/>
      <c r="O13" s="205"/>
      <c r="P13" s="205"/>
      <c r="Q13" s="205"/>
    </row>
    <row r="14" spans="1:17" s="1082" customFormat="1" ht="12" customHeight="1">
      <c r="A14" s="1160" t="s">
        <v>850</v>
      </c>
      <c r="B14" s="1160"/>
      <c r="C14" s="621">
        <v>13</v>
      </c>
      <c r="D14" s="424">
        <v>13</v>
      </c>
      <c r="E14" s="502"/>
      <c r="F14" s="1099">
        <v>15</v>
      </c>
      <c r="G14" s="205"/>
      <c r="H14" s="205"/>
      <c r="I14" s="205"/>
      <c r="J14" s="205"/>
      <c r="K14" s="205"/>
      <c r="L14" s="205"/>
      <c r="M14" s="205"/>
      <c r="N14" s="205"/>
      <c r="O14" s="205"/>
      <c r="P14" s="205"/>
      <c r="Q14" s="205"/>
    </row>
    <row r="15" spans="1:17" s="1082" customFormat="1" ht="12" customHeight="1">
      <c r="A15" s="1156"/>
      <c r="B15" s="1156"/>
      <c r="C15" s="621"/>
      <c r="D15" s="424"/>
      <c r="E15" s="502"/>
      <c r="F15" s="486"/>
      <c r="G15" s="205"/>
      <c r="H15" s="205"/>
      <c r="I15" s="205"/>
      <c r="J15" s="205"/>
      <c r="K15" s="205"/>
      <c r="L15" s="205"/>
      <c r="M15" s="205"/>
      <c r="N15" s="205"/>
      <c r="O15" s="205"/>
      <c r="P15" s="205"/>
      <c r="Q15" s="205"/>
    </row>
    <row r="16" spans="1:17" s="1082" customFormat="1" ht="12" customHeight="1">
      <c r="A16" s="1157" t="s">
        <v>845</v>
      </c>
      <c r="B16" s="1157"/>
      <c r="C16" s="621">
        <v>543</v>
      </c>
      <c r="D16" s="424">
        <v>538</v>
      </c>
      <c r="E16" s="502"/>
      <c r="F16" s="486"/>
      <c r="G16" s="205"/>
      <c r="H16" s="205"/>
      <c r="I16" s="205"/>
      <c r="J16" s="205"/>
      <c r="K16" s="205"/>
      <c r="L16" s="205"/>
      <c r="M16" s="205"/>
      <c r="N16" s="205"/>
      <c r="O16" s="205"/>
      <c r="P16" s="205"/>
      <c r="Q16" s="205"/>
    </row>
    <row r="17" spans="1:17" s="1082" customFormat="1" ht="12" customHeight="1">
      <c r="A17" s="1124" t="s">
        <v>566</v>
      </c>
      <c r="B17" s="1124"/>
      <c r="C17" s="706">
        <v>10.5</v>
      </c>
      <c r="D17" s="467">
        <v>11</v>
      </c>
      <c r="E17" s="521"/>
      <c r="F17" s="486"/>
      <c r="G17" s="205"/>
      <c r="H17" s="205"/>
      <c r="I17" s="205"/>
      <c r="J17" s="205"/>
      <c r="K17" s="205"/>
      <c r="L17" s="205"/>
      <c r="M17" s="205"/>
      <c r="N17" s="205"/>
      <c r="O17" s="205"/>
      <c r="P17" s="205"/>
      <c r="Q17" s="205"/>
    </row>
    <row r="18" spans="1:17" s="1082" customFormat="1" ht="12" customHeight="1">
      <c r="A18" s="1156"/>
      <c r="B18" s="1156"/>
      <c r="C18" s="621"/>
      <c r="D18" s="424"/>
      <c r="E18" s="502"/>
      <c r="F18" s="486"/>
      <c r="G18" s="205"/>
      <c r="H18" s="205"/>
      <c r="I18" s="205"/>
      <c r="J18" s="205"/>
      <c r="K18" s="205"/>
      <c r="L18" s="205"/>
      <c r="M18" s="205"/>
      <c r="N18" s="205"/>
      <c r="O18" s="205"/>
      <c r="P18" s="205"/>
      <c r="Q18" s="205"/>
    </row>
    <row r="19" spans="1:17" s="1082" customFormat="1" ht="12" customHeight="1">
      <c r="A19" s="1160" t="s">
        <v>1176</v>
      </c>
      <c r="B19" s="1160"/>
      <c r="C19" s="621">
        <v>24</v>
      </c>
      <c r="D19" s="424">
        <v>12</v>
      </c>
      <c r="E19" s="502"/>
      <c r="F19" s="1099">
        <v>10</v>
      </c>
      <c r="G19" s="205"/>
      <c r="H19" s="205"/>
      <c r="I19" s="205"/>
      <c r="J19" s="205"/>
      <c r="K19" s="205"/>
      <c r="L19" s="205"/>
      <c r="M19" s="205"/>
      <c r="N19" s="205"/>
      <c r="O19" s="205"/>
      <c r="P19" s="205"/>
      <c r="Q19" s="205"/>
    </row>
    <row r="20" spans="1:17" s="1082" customFormat="1" ht="12" customHeight="1">
      <c r="A20" s="1160" t="s">
        <v>1177</v>
      </c>
      <c r="B20" s="1160"/>
      <c r="C20" s="621">
        <v>-65</v>
      </c>
      <c r="D20" s="424">
        <v>-59</v>
      </c>
      <c r="E20" s="502"/>
      <c r="F20" s="1099">
        <v>10</v>
      </c>
      <c r="G20" s="205"/>
      <c r="H20" s="205"/>
      <c r="I20" s="205"/>
      <c r="J20" s="205"/>
      <c r="K20" s="205"/>
      <c r="L20" s="205"/>
      <c r="M20" s="205"/>
      <c r="N20" s="205"/>
      <c r="O20" s="205"/>
      <c r="P20" s="205"/>
      <c r="Q20" s="205"/>
    </row>
    <row r="21" spans="1:17" s="1082" customFormat="1" ht="12" customHeight="1">
      <c r="A21" s="1156"/>
      <c r="B21" s="1156"/>
      <c r="C21" s="621"/>
      <c r="D21" s="424"/>
      <c r="E21" s="502"/>
      <c r="F21" s="486"/>
      <c r="G21" s="205"/>
      <c r="H21" s="205"/>
      <c r="I21" s="205"/>
      <c r="J21" s="205"/>
      <c r="K21" s="205"/>
      <c r="L21" s="205"/>
      <c r="M21" s="205"/>
      <c r="N21" s="205"/>
      <c r="O21" s="205"/>
      <c r="P21" s="205"/>
      <c r="Q21" s="205"/>
    </row>
    <row r="22" spans="1:17" s="1082" customFormat="1" ht="12" customHeight="1">
      <c r="A22" s="1157" t="s">
        <v>622</v>
      </c>
      <c r="B22" s="1157"/>
      <c r="C22" s="621">
        <v>502</v>
      </c>
      <c r="D22" s="424">
        <v>491</v>
      </c>
      <c r="E22" s="502"/>
      <c r="F22" s="486"/>
      <c r="G22" s="205"/>
      <c r="H22" s="205"/>
      <c r="I22" s="205"/>
      <c r="J22" s="205"/>
      <c r="K22" s="205"/>
      <c r="L22" s="205"/>
      <c r="M22" s="205"/>
      <c r="N22" s="205"/>
      <c r="O22" s="205"/>
      <c r="P22" s="205"/>
      <c r="Q22" s="205"/>
    </row>
    <row r="23" spans="1:17" s="1082" customFormat="1" ht="12" customHeight="1">
      <c r="A23" s="1158"/>
      <c r="B23" s="1158"/>
      <c r="C23" s="621"/>
      <c r="D23" s="424"/>
      <c r="E23" s="502"/>
      <c r="F23" s="486"/>
      <c r="G23" s="205"/>
      <c r="H23" s="205"/>
      <c r="I23" s="205"/>
      <c r="J23" s="205"/>
      <c r="K23" s="205"/>
      <c r="L23" s="205"/>
      <c r="M23" s="205"/>
      <c r="N23" s="205"/>
      <c r="O23" s="205"/>
      <c r="P23" s="205"/>
      <c r="Q23" s="205"/>
    </row>
    <row r="24" spans="1:17" s="1082" customFormat="1" ht="12" customHeight="1">
      <c r="A24" s="1166" t="s">
        <v>457</v>
      </c>
      <c r="B24" s="1166"/>
      <c r="C24" s="625">
        <v>-116</v>
      </c>
      <c r="D24" s="480">
        <v>-117</v>
      </c>
      <c r="E24" s="480"/>
      <c r="F24" s="1100">
        <v>11</v>
      </c>
      <c r="G24" s="205"/>
      <c r="H24" s="205"/>
      <c r="I24" s="205"/>
      <c r="J24" s="205"/>
      <c r="K24" s="205"/>
      <c r="L24" s="205"/>
      <c r="M24" s="205"/>
      <c r="N24" s="205"/>
      <c r="O24" s="205"/>
      <c r="P24" s="205"/>
      <c r="Q24" s="205"/>
    </row>
    <row r="25" spans="1:17" s="1082" customFormat="1" ht="12" customHeight="1">
      <c r="A25" s="1114" t="s">
        <v>617</v>
      </c>
      <c r="B25" s="1114"/>
      <c r="C25" s="626">
        <v>386</v>
      </c>
      <c r="D25" s="526">
        <v>375</v>
      </c>
      <c r="E25" s="526"/>
      <c r="F25" s="955"/>
      <c r="G25" s="205"/>
      <c r="H25" s="205"/>
      <c r="I25" s="205"/>
      <c r="J25" s="205"/>
      <c r="K25" s="205"/>
      <c r="L25" s="205"/>
      <c r="M25" s="205"/>
      <c r="N25" s="205"/>
      <c r="O25" s="205"/>
      <c r="P25" s="205"/>
      <c r="Q25" s="205"/>
    </row>
    <row r="26" spans="1:17" s="1082" customFormat="1" ht="12" customHeight="1">
      <c r="A26" s="1167"/>
      <c r="B26" s="1167"/>
      <c r="C26" s="624"/>
      <c r="D26" s="427"/>
      <c r="E26" s="502"/>
      <c r="F26" s="744"/>
      <c r="G26" s="205"/>
      <c r="H26" s="205"/>
      <c r="I26" s="205"/>
      <c r="J26" s="205"/>
      <c r="K26" s="205"/>
      <c r="L26" s="205"/>
      <c r="M26" s="205"/>
      <c r="N26" s="205"/>
      <c r="O26" s="205"/>
      <c r="P26" s="205"/>
      <c r="Q26" s="205"/>
    </row>
    <row r="27" spans="1:17" s="1082" customFormat="1" ht="12" customHeight="1">
      <c r="A27" s="1163" t="s">
        <v>13</v>
      </c>
      <c r="B27" s="1163"/>
      <c r="C27" s="621"/>
      <c r="D27" s="424"/>
      <c r="E27" s="502"/>
      <c r="F27" s="744"/>
      <c r="G27" s="205"/>
      <c r="H27" s="205"/>
      <c r="I27" s="205"/>
      <c r="J27" s="205"/>
      <c r="K27" s="205"/>
      <c r="L27" s="205"/>
      <c r="M27" s="205"/>
      <c r="N27" s="205"/>
      <c r="O27" s="205"/>
      <c r="P27" s="205"/>
      <c r="Q27" s="205"/>
    </row>
    <row r="28" spans="1:17" s="1082" customFormat="1" ht="12" customHeight="1">
      <c r="A28" s="1124" t="s">
        <v>1113</v>
      </c>
      <c r="B28" s="1124"/>
      <c r="C28" s="621">
        <v>386</v>
      </c>
      <c r="D28" s="424">
        <v>375</v>
      </c>
      <c r="E28" s="502"/>
      <c r="F28" s="1099">
        <v>12</v>
      </c>
      <c r="G28" s="205"/>
      <c r="H28" s="205"/>
      <c r="I28" s="205"/>
      <c r="J28" s="205"/>
      <c r="K28" s="205"/>
      <c r="L28" s="205"/>
      <c r="M28" s="205"/>
      <c r="N28" s="205"/>
      <c r="O28" s="205"/>
      <c r="P28" s="205"/>
      <c r="Q28" s="205"/>
    </row>
    <row r="29" spans="1:17" s="1082" customFormat="1" ht="12" customHeight="1">
      <c r="A29" s="1141" t="s">
        <v>1114</v>
      </c>
      <c r="B29" s="1141"/>
      <c r="C29" s="625">
        <v>1</v>
      </c>
      <c r="D29" s="480">
        <v>-1</v>
      </c>
      <c r="E29" s="480"/>
      <c r="F29" s="488"/>
      <c r="G29" s="205"/>
      <c r="H29" s="205"/>
      <c r="I29" s="205"/>
      <c r="J29" s="205"/>
      <c r="K29" s="205"/>
      <c r="L29" s="205"/>
      <c r="M29" s="205"/>
      <c r="N29" s="205"/>
      <c r="O29" s="205"/>
      <c r="P29" s="205"/>
      <c r="Q29" s="205"/>
    </row>
    <row r="30" spans="1:17" s="1082" customFormat="1" ht="12" customHeight="1">
      <c r="A30" s="1164"/>
      <c r="B30" s="1164"/>
      <c r="C30" s="624">
        <v>386</v>
      </c>
      <c r="D30" s="427">
        <v>375</v>
      </c>
      <c r="E30" s="502"/>
      <c r="F30" s="500"/>
      <c r="G30" s="205"/>
      <c r="H30" s="205"/>
      <c r="I30" s="205"/>
      <c r="J30" s="205"/>
      <c r="K30" s="205"/>
      <c r="L30" s="205"/>
      <c r="M30" s="205"/>
      <c r="N30" s="205"/>
      <c r="O30" s="205"/>
      <c r="P30" s="205"/>
      <c r="Q30" s="205"/>
    </row>
    <row r="31" spans="1:17" s="1082" customFormat="1" ht="12" customHeight="1">
      <c r="A31" s="1165"/>
      <c r="B31" s="1165"/>
      <c r="C31" s="627"/>
      <c r="D31" s="463"/>
      <c r="E31" s="499"/>
      <c r="F31" s="500"/>
      <c r="G31" s="205"/>
      <c r="H31" s="205"/>
      <c r="I31" s="205"/>
      <c r="J31" s="205"/>
      <c r="K31" s="205"/>
      <c r="L31" s="205"/>
      <c r="M31" s="205"/>
      <c r="N31" s="205"/>
      <c r="O31" s="205"/>
      <c r="P31" s="205"/>
      <c r="Q31" s="205"/>
    </row>
    <row r="32" spans="1:17" s="1082" customFormat="1" ht="21" customHeight="1">
      <c r="A32" s="1155" t="s">
        <v>1086</v>
      </c>
      <c r="B32" s="1155" t="s">
        <v>1085</v>
      </c>
      <c r="C32" s="627"/>
      <c r="D32" s="463"/>
      <c r="E32" s="499"/>
      <c r="F32" s="500"/>
      <c r="G32" s="205"/>
      <c r="H32" s="205"/>
      <c r="I32" s="205"/>
      <c r="J32" s="205"/>
      <c r="K32" s="205"/>
      <c r="L32" s="205"/>
      <c r="M32" s="205"/>
      <c r="N32" s="205"/>
      <c r="O32" s="205"/>
      <c r="P32" s="205"/>
      <c r="Q32" s="205"/>
    </row>
    <row r="33" spans="1:17" s="1082" customFormat="1" ht="11.25" customHeight="1">
      <c r="A33" s="1109" t="s">
        <v>1190</v>
      </c>
      <c r="B33" s="1109"/>
      <c r="C33" s="725">
        <v>0.65</v>
      </c>
      <c r="D33" s="1017">
        <v>0.63</v>
      </c>
      <c r="E33" s="499"/>
      <c r="F33" s="1099">
        <v>12</v>
      </c>
      <c r="G33" s="205"/>
      <c r="H33" s="205"/>
      <c r="I33" s="205"/>
      <c r="J33" s="205"/>
      <c r="K33" s="205"/>
      <c r="L33" s="205"/>
      <c r="M33" s="205"/>
      <c r="N33" s="205"/>
      <c r="O33" s="205"/>
      <c r="P33" s="205"/>
      <c r="Q33" s="205"/>
    </row>
    <row r="34" spans="1:17" ht="12" customHeight="1">
      <c r="B34" s="211"/>
      <c r="C34" s="210"/>
      <c r="D34" s="210"/>
      <c r="E34" s="210"/>
    </row>
    <row r="35" spans="1:17" ht="12" customHeight="1">
      <c r="A35" s="1149" t="s">
        <v>1442</v>
      </c>
      <c r="B35" s="1149"/>
      <c r="C35" s="1149"/>
      <c r="D35" s="1149"/>
      <c r="E35" s="1149"/>
      <c r="F35" s="1149"/>
    </row>
    <row r="36" spans="1:17" ht="12" customHeight="1">
      <c r="B36" s="212"/>
      <c r="C36" s="213"/>
      <c r="D36" s="214"/>
      <c r="E36" s="214"/>
    </row>
    <row r="37" spans="1:17" ht="12" customHeight="1">
      <c r="A37" s="1149" t="s">
        <v>1641</v>
      </c>
      <c r="B37" s="1149"/>
      <c r="C37" s="1149"/>
      <c r="D37" s="1149"/>
      <c r="E37" s="1149"/>
      <c r="F37" s="1149"/>
    </row>
    <row r="38" spans="1:17" ht="12" customHeight="1">
      <c r="C38" s="216"/>
    </row>
    <row r="39" spans="1:17" ht="12" customHeight="1">
      <c r="C39" s="216"/>
    </row>
  </sheetData>
  <mergeCells count="34">
    <mergeCell ref="E4:F4"/>
    <mergeCell ref="A19:B19"/>
    <mergeCell ref="A20:B20"/>
    <mergeCell ref="A35:F35"/>
    <mergeCell ref="A1:F1"/>
    <mergeCell ref="A27:B27"/>
    <mergeCell ref="A30:B30"/>
    <mergeCell ref="A31:B31"/>
    <mergeCell ref="A24:B24"/>
    <mergeCell ref="A25:B25"/>
    <mergeCell ref="A26:B26"/>
    <mergeCell ref="A4:B4"/>
    <mergeCell ref="A11:B11"/>
    <mergeCell ref="A10:B10"/>
    <mergeCell ref="A9:B9"/>
    <mergeCell ref="A6:B6"/>
    <mergeCell ref="A5:B5"/>
    <mergeCell ref="A16:B16"/>
    <mergeCell ref="A15:B15"/>
    <mergeCell ref="A14:B14"/>
    <mergeCell ref="A13:B13"/>
    <mergeCell ref="A12:B12"/>
    <mergeCell ref="A29:B29"/>
    <mergeCell ref="A33:B33"/>
    <mergeCell ref="A37:F37"/>
    <mergeCell ref="A8:B8"/>
    <mergeCell ref="A7:B7"/>
    <mergeCell ref="A32:B32"/>
    <mergeCell ref="A21:B21"/>
    <mergeCell ref="A22:B22"/>
    <mergeCell ref="A23:B23"/>
    <mergeCell ref="A18:B18"/>
    <mergeCell ref="A17:B17"/>
    <mergeCell ref="A28:B28"/>
  </mergeCells>
  <phoneticPr fontId="33" type="noConversion"/>
  <hyperlinks>
    <hyperlink ref="F5" r:id="rId1" location="4-myyntituottojen-jaottelu" display="http://www.wartsilareports.com/fi-FI /2018/ar/taloudellinen-katsaus/tilinpaatos/konsernitilinpaatos/konsernitilinpaatoksen-liitetiedot/ - 4-myyntituottojen-jaottelu" xr:uid="{00000000-0004-0000-0200-000000000000}"/>
    <hyperlink ref="E5" r:id="rId2" location="1-segmentti-informaatio" display="http://www.wartsilareports.com/fi-FI/2018/ar/taloudellinen-katsaus/tilinpaatos/konsernitilinpaatos/konsernitilinpaatoksen-liitetiedot/ - 1-segmentti-informaatio" xr:uid="{00000000-0004-0000-0200-000001000000}"/>
    <hyperlink ref="F8" r:id="rId3" location="5-liiketoiminnan-muut-tuotot" display="http://www.wartsilareports.com/fi-FI/2018/ar/taloudellinen-katsaus/tilinpaatos/konsernitilinpaatos/konsernitilinpaatoksen-liitetiedot/ - 5-liiketoiminnan-muut-tuotot" xr:uid="{00000000-0004-0000-0200-000002000000}"/>
    <hyperlink ref="F10" r:id="rId4" location="6-materiaalit-ja-palvelut" display="http://www.wartsilareports.com/fi-FI/2018/ar/taloudellinen-katsaus/tilinpaatos/konsernitilinpaatos/konsernitilinpaatoksen-liitetiedot/ - 6-materiaalit-ja-palvelut" xr:uid="{00000000-0004-0000-0200-000003000000}"/>
    <hyperlink ref="F11" r:id="rId5" location="7-tyosuhde-etuuksista-aiheutuvat-kulut" display="http://www.wartsilareports.com/fi-FI/2018/ar/taloudellinen-katsaus/tilinpaatos/konsernitilinpaatos/konsernitilinpaatoksen-liitetiedot/ - 7-tyosuhde-etuuksista-aiheutuvat-kulut" xr:uid="{00000000-0004-0000-0200-000004000000}"/>
    <hyperlink ref="F12" r:id="rId6" location="8-poistot-ja-arvonalentumiset" display="http://www.wartsilareports.com/fi-FI/2018/ar/taloudellinen-katsaus/tilinpaatos/konsernitilinpaatos/konsernitilinpaatoksen-liitetiedot/ - 8-poistot-ja-arvonalentumiset" xr:uid="{00000000-0004-0000-0200-000005000000}"/>
    <hyperlink ref="F24" r:id="rId7" location="11-tuloverot" display="http://www.wartsilareports.com/fi-FI/2018/ar/taloudellinen-katsaus/tilinpaatos/konsernitilinpaatos/konsernitilinpaatoksen-liitetiedot/ - 11-tuloverot" xr:uid="{00000000-0004-0000-0200-000006000000}"/>
    <hyperlink ref="F28" r:id="rId8" location="12-osakekohtainen-tulos" display="http://www.wartsilareports.com/fi-FI/2018/ar/taloudellinen-katsaus/tilinpaatos/konsernitilinpaatos/konsernitilinpaatoksen-liitetiedot/ - 12-osakekohtainen-tulos" xr:uid="{00000000-0004-0000-0200-000007000000}"/>
    <hyperlink ref="F14" r:id="rId9" location="15-sijoitukset-osakkuus-ja-yhteisyrityksiin" display="http://www.wartsilareports.com/fi-FI/2018/ar/taloudellinen-katsaus/tilinpaatos/konsernitilinpaatos/konsernitilinpaatoksen-liitetiedot/ - 15-sijoitukset-osakkuus-ja-yhteisyrityksiin" xr:uid="{00000000-0004-0000-0200-000008000000}"/>
    <hyperlink ref="F13" r:id="rId10" location="9-liiketoiminnan-muut-kulut" display="http://www.wartsilareports.com/fi-FI/2018/ar/taloudellinen-katsaus/tilinpaatos/konsernitilinpaatos/konsernitilinpaatoksen-liitetiedot/ - 9-liiketoiminnan-muut-kulut" xr:uid="{4572C1F6-5DB5-4100-A0D3-27C229B29BC7}"/>
    <hyperlink ref="F19" r:id="rId11" location="10-rahoitustuotot-ja-kulut" display="http://www.wartsilareports.com/fi-FI/2018/ar/taloudellinen-katsaus/tilinpaatos/konsernitilinpaatos/konsernitilinpaatoksen-liitetiedot/ - 10-rahoitustuotot-ja-kulut" xr:uid="{CD4C1245-F708-49DB-8F0B-B682F0D558A7}"/>
    <hyperlink ref="F20" r:id="rId12" location="10-rahoitustuotot-ja-kulut" display="http://www.wartsilareports.com/fi-FI/2018/ar/taloudellinen-katsaus/tilinpaatos/konsernitilinpaatos/konsernitilinpaatoksen-liitetiedot/ - 10-rahoitustuotot-ja-kulut" xr:uid="{4435D1C2-4217-4BC4-BE53-913690214931}"/>
    <hyperlink ref="F33" r:id="rId13" location="12-osakekohtainen-tulos" display="http://www.wartsilareports.com/fi-FI/2018/ar/taloudellinen-katsaus/tilinpaatos/konsernitilinpaatos/konsernitilinpaatoksen-liitetiedot/ - 12-osakekohtainen-tulos" xr:uid="{8F08BCE9-4C69-4C13-A56F-63CD087C5DDA}"/>
  </hyperlinks>
  <printOptions horizontalCentered="1"/>
  <pageMargins left="0.78740157480314965" right="0.82677165354330717" top="0.86614173228346458" bottom="0.39370078740157483" header="0.51181102362204722" footer="0.35433070866141736"/>
  <pageSetup paperSize="9" scale="81" fitToHeight="2" orientation="portrait" r:id="rId14"/>
  <headerFooter alignWithMargins="0"/>
  <customProperties>
    <customPr name="SheetOptions" r:id="rId15"/>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Q80"/>
  <sheetViews>
    <sheetView zoomScaleNormal="100" workbookViewId="0">
      <selection sqref="A1:F1"/>
    </sheetView>
  </sheetViews>
  <sheetFormatPr defaultColWidth="37.42578125" defaultRowHeight="12" customHeight="1"/>
  <cols>
    <col min="1" max="1" width="2.42578125" style="240" customWidth="1"/>
    <col min="2" max="2" width="74.140625" style="215" customWidth="1"/>
    <col min="3" max="4" width="18.28515625" style="217" customWidth="1"/>
    <col min="5" max="6" width="8.28515625" style="944" customWidth="1"/>
    <col min="7" max="17" width="3.7109375" style="944" customWidth="1"/>
    <col min="18" max="16384" width="37.42578125" style="240"/>
  </cols>
  <sheetData>
    <row r="1" spans="1:17" ht="15.75" customHeight="1">
      <c r="A1" s="1151" t="s">
        <v>232</v>
      </c>
      <c r="B1" s="1151"/>
      <c r="C1" s="1151"/>
      <c r="D1" s="1151"/>
      <c r="E1" s="1151"/>
      <c r="F1" s="1151"/>
    </row>
    <row r="2" spans="1:17" ht="11.25" customHeight="1">
      <c r="A2" s="235"/>
      <c r="B2" s="236"/>
      <c r="C2" s="396"/>
      <c r="D2" s="345"/>
    </row>
    <row r="3" spans="1:17" ht="11.25" customHeight="1">
      <c r="A3" s="235"/>
      <c r="B3" s="236"/>
      <c r="C3" s="396"/>
      <c r="D3" s="489" t="s">
        <v>1025</v>
      </c>
      <c r="E3" s="976"/>
      <c r="F3" s="976"/>
      <c r="G3" s="976"/>
      <c r="H3" s="976"/>
      <c r="I3" s="976"/>
      <c r="J3" s="976"/>
      <c r="K3" s="976"/>
      <c r="L3" s="976"/>
      <c r="M3" s="976"/>
      <c r="N3" s="976"/>
      <c r="O3" s="976"/>
      <c r="P3" s="976"/>
      <c r="Q3" s="976"/>
    </row>
    <row r="4" spans="1:17" ht="11.25" customHeight="1">
      <c r="A4" s="1172" t="s">
        <v>740</v>
      </c>
      <c r="B4" s="1172"/>
      <c r="C4" s="628">
        <v>2018</v>
      </c>
      <c r="D4" s="208">
        <v>2017</v>
      </c>
      <c r="E4" s="1162" t="s">
        <v>647</v>
      </c>
      <c r="F4" s="1162"/>
    </row>
    <row r="5" spans="1:17" ht="11.25" customHeight="1">
      <c r="A5" s="1168" t="s">
        <v>617</v>
      </c>
      <c r="B5" s="1168"/>
      <c r="C5" s="621">
        <v>386</v>
      </c>
      <c r="D5" s="424">
        <v>375</v>
      </c>
      <c r="E5" s="424"/>
      <c r="F5" s="424"/>
    </row>
    <row r="6" spans="1:17" ht="11.25" customHeight="1">
      <c r="A6" s="806"/>
      <c r="B6" s="806"/>
      <c r="C6" s="621"/>
      <c r="D6" s="424"/>
      <c r="E6" s="424"/>
      <c r="F6" s="424"/>
    </row>
    <row r="7" spans="1:17" ht="11.25" customHeight="1">
      <c r="A7" s="1120" t="s">
        <v>35</v>
      </c>
      <c r="B7" s="1120"/>
      <c r="C7" s="621"/>
      <c r="D7" s="424"/>
      <c r="E7" s="424"/>
      <c r="F7" s="424"/>
    </row>
    <row r="8" spans="1:17" ht="11.25" customHeight="1">
      <c r="A8" s="749"/>
      <c r="B8" s="749"/>
      <c r="C8" s="630"/>
      <c r="D8" s="502"/>
      <c r="E8" s="502"/>
      <c r="F8" s="502"/>
    </row>
    <row r="9" spans="1:17" ht="11.25" customHeight="1">
      <c r="A9" s="1120" t="s">
        <v>1021</v>
      </c>
      <c r="B9" s="1120"/>
      <c r="C9" s="621"/>
      <c r="D9" s="424"/>
      <c r="E9" s="424"/>
      <c r="F9" s="424"/>
    </row>
    <row r="10" spans="1:17" ht="11.25" customHeight="1">
      <c r="A10" s="1118" t="s">
        <v>1140</v>
      </c>
      <c r="B10" s="1118"/>
      <c r="C10" s="625">
        <v>-3</v>
      </c>
      <c r="D10" s="480">
        <v>7</v>
      </c>
      <c r="E10" s="480"/>
      <c r="F10" s="480"/>
    </row>
    <row r="11" spans="1:17" ht="11.25" customHeight="1">
      <c r="A11" s="1134" t="s">
        <v>1022</v>
      </c>
      <c r="B11" s="1134"/>
      <c r="C11" s="624">
        <v>-4</v>
      </c>
      <c r="D11" s="427">
        <v>7</v>
      </c>
      <c r="E11" s="427"/>
      <c r="F11" s="427"/>
    </row>
    <row r="12" spans="1:17" ht="11.25" customHeight="1">
      <c r="A12" s="490"/>
      <c r="B12" s="490"/>
      <c r="C12" s="621"/>
      <c r="D12" s="424"/>
      <c r="E12" s="424"/>
      <c r="F12" s="424"/>
    </row>
    <row r="13" spans="1:17" ht="11.25" customHeight="1">
      <c r="A13" s="1120" t="s">
        <v>1023</v>
      </c>
      <c r="B13" s="1120"/>
      <c r="C13" s="621"/>
      <c r="D13" s="424"/>
      <c r="E13" s="424"/>
      <c r="F13" s="424"/>
    </row>
    <row r="14" spans="1:17" ht="11.25" customHeight="1">
      <c r="A14" s="1121" t="s">
        <v>375</v>
      </c>
      <c r="B14" s="1121"/>
      <c r="C14" s="621"/>
      <c r="D14" s="424"/>
      <c r="E14" s="424"/>
      <c r="F14" s="424"/>
    </row>
    <row r="15" spans="1:17" ht="11.25" customHeight="1">
      <c r="A15" s="1110" t="s">
        <v>1220</v>
      </c>
      <c r="B15" s="1110"/>
      <c r="C15" s="621">
        <v>-23</v>
      </c>
      <c r="D15" s="424">
        <v>-73</v>
      </c>
      <c r="E15" s="424"/>
      <c r="F15" s="424"/>
    </row>
    <row r="16" spans="1:17" ht="11.25" customHeight="1">
      <c r="A16" s="1110" t="s">
        <v>1191</v>
      </c>
      <c r="B16" s="1110"/>
      <c r="C16" s="621">
        <v>-1</v>
      </c>
      <c r="D16" s="424">
        <v>-2</v>
      </c>
      <c r="E16" s="424"/>
      <c r="F16" s="424"/>
    </row>
    <row r="17" spans="1:17" ht="11.25" customHeight="1">
      <c r="A17" s="1159" t="s">
        <v>1642</v>
      </c>
      <c r="B17" s="1159"/>
      <c r="C17" s="621">
        <v>-1</v>
      </c>
      <c r="D17" s="424">
        <v>-1</v>
      </c>
      <c r="E17" s="424"/>
      <c r="F17" s="424"/>
    </row>
    <row r="18" spans="1:17" ht="11.25" customHeight="1">
      <c r="A18" s="1121" t="s">
        <v>461</v>
      </c>
      <c r="B18" s="1121"/>
      <c r="C18" s="621"/>
      <c r="D18" s="424"/>
      <c r="E18" s="424"/>
      <c r="F18" s="502"/>
    </row>
    <row r="19" spans="1:17" ht="11.25" customHeight="1">
      <c r="A19" s="1173" t="s">
        <v>913</v>
      </c>
      <c r="B19" s="1173"/>
      <c r="C19" s="621">
        <v>-17</v>
      </c>
      <c r="D19" s="424">
        <v>1</v>
      </c>
      <c r="E19" s="424"/>
      <c r="F19" s="1099">
        <v>24</v>
      </c>
    </row>
    <row r="20" spans="1:17" ht="11.25" customHeight="1">
      <c r="A20" s="1173" t="s">
        <v>914</v>
      </c>
      <c r="B20" s="1173"/>
      <c r="C20" s="621">
        <v>-8</v>
      </c>
      <c r="D20" s="424">
        <v>36</v>
      </c>
      <c r="E20" s="424"/>
      <c r="F20" s="502"/>
    </row>
    <row r="21" spans="1:17" ht="11.25" customHeight="1">
      <c r="A21" s="1120" t="s">
        <v>1101</v>
      </c>
      <c r="B21" s="1120"/>
      <c r="C21" s="621"/>
      <c r="D21" s="424"/>
      <c r="E21" s="424"/>
      <c r="F21" s="502"/>
    </row>
    <row r="22" spans="1:17" ht="11.25" customHeight="1">
      <c r="A22" s="1121" t="s">
        <v>461</v>
      </c>
      <c r="B22" s="1121"/>
      <c r="C22" s="621"/>
      <c r="D22" s="424"/>
      <c r="E22" s="424"/>
      <c r="F22" s="424"/>
    </row>
    <row r="23" spans="1:17" ht="11.25" customHeight="1">
      <c r="A23" s="1173" t="s">
        <v>913</v>
      </c>
      <c r="B23" s="1173"/>
      <c r="C23" s="621">
        <v>3</v>
      </c>
      <c r="D23" s="424">
        <v>-1</v>
      </c>
      <c r="E23" s="424"/>
      <c r="F23" s="424"/>
    </row>
    <row r="24" spans="1:17" ht="11.25" customHeight="1">
      <c r="A24" s="1142" t="s">
        <v>914</v>
      </c>
      <c r="B24" s="1142"/>
      <c r="C24" s="625">
        <v>2</v>
      </c>
      <c r="D24" s="480">
        <v>-8</v>
      </c>
      <c r="E24" s="480"/>
      <c r="F24" s="480"/>
    </row>
    <row r="25" spans="1:17" ht="11.25" customHeight="1">
      <c r="A25" s="1171" t="s">
        <v>1024</v>
      </c>
      <c r="B25" s="1171"/>
      <c r="C25" s="624">
        <v>-45</v>
      </c>
      <c r="D25" s="427">
        <v>-48</v>
      </c>
      <c r="E25" s="427"/>
      <c r="F25" s="427"/>
    </row>
    <row r="26" spans="1:17" ht="11.25" customHeight="1">
      <c r="A26" s="1170"/>
      <c r="B26" s="1170"/>
      <c r="C26" s="621"/>
      <c r="D26" s="424"/>
      <c r="E26" s="424"/>
      <c r="F26" s="424"/>
    </row>
    <row r="27" spans="1:17" ht="11.25" customHeight="1">
      <c r="A27" s="1168" t="s">
        <v>1026</v>
      </c>
      <c r="B27" s="1168"/>
      <c r="C27" s="621">
        <v>-48</v>
      </c>
      <c r="D27" s="424">
        <v>-41</v>
      </c>
      <c r="E27" s="424"/>
      <c r="F27" s="424"/>
    </row>
    <row r="28" spans="1:17" s="1083" customFormat="1" ht="11.25" customHeight="1">
      <c r="A28" s="494"/>
      <c r="B28" s="495"/>
      <c r="C28" s="623"/>
      <c r="D28" s="443"/>
      <c r="E28" s="443"/>
      <c r="F28" s="443"/>
      <c r="G28" s="944"/>
      <c r="H28" s="944"/>
      <c r="I28" s="944"/>
      <c r="J28" s="944"/>
      <c r="K28" s="944"/>
      <c r="L28" s="944"/>
      <c r="M28" s="944"/>
      <c r="N28" s="944"/>
      <c r="O28" s="944"/>
      <c r="P28" s="944"/>
      <c r="Q28" s="944"/>
    </row>
    <row r="29" spans="1:17" ht="11.25" customHeight="1">
      <c r="A29" s="1169" t="s">
        <v>536</v>
      </c>
      <c r="B29" s="1169"/>
      <c r="C29" s="626">
        <v>338</v>
      </c>
      <c r="D29" s="526">
        <v>334</v>
      </c>
      <c r="E29" s="526"/>
      <c r="F29" s="526"/>
    </row>
    <row r="30" spans="1:17" ht="11.25" customHeight="1">
      <c r="A30" s="491"/>
      <c r="B30" s="436"/>
      <c r="C30" s="624"/>
      <c r="D30" s="427"/>
      <c r="E30" s="427"/>
      <c r="F30" s="427"/>
    </row>
    <row r="31" spans="1:17" ht="11.25" customHeight="1">
      <c r="A31" s="1127" t="s">
        <v>537</v>
      </c>
      <c r="B31" s="1127"/>
      <c r="C31" s="621"/>
      <c r="D31" s="424"/>
      <c r="E31" s="424"/>
      <c r="F31" s="424"/>
    </row>
    <row r="32" spans="1:17" ht="11.25" customHeight="1">
      <c r="A32" s="1110" t="s">
        <v>1113</v>
      </c>
      <c r="B32" s="1110"/>
      <c r="C32" s="621">
        <v>338</v>
      </c>
      <c r="D32" s="424">
        <v>337</v>
      </c>
      <c r="E32" s="424"/>
      <c r="F32" s="424"/>
    </row>
    <row r="33" spans="1:6" ht="11.25" customHeight="1">
      <c r="A33" s="1123" t="s">
        <v>1114</v>
      </c>
      <c r="B33" s="1123"/>
      <c r="C33" s="623"/>
      <c r="D33" s="443">
        <v>-3</v>
      </c>
      <c r="E33" s="443"/>
      <c r="F33" s="443"/>
    </row>
    <row r="34" spans="1:6" ht="11.25" customHeight="1">
      <c r="A34" s="492"/>
      <c r="B34" s="493"/>
      <c r="C34" s="624">
        <v>338</v>
      </c>
      <c r="D34" s="427">
        <v>334</v>
      </c>
      <c r="E34" s="427"/>
      <c r="F34" s="427"/>
    </row>
    <row r="35" spans="1:6" ht="11.25" customHeight="1">
      <c r="A35" s="209"/>
      <c r="B35" s="206"/>
      <c r="C35" s="206"/>
      <c r="D35" s="206"/>
    </row>
    <row r="36" spans="1:6" ht="11.25" customHeight="1">
      <c r="A36" s="1149" t="s">
        <v>1641</v>
      </c>
      <c r="B36" s="1149"/>
      <c r="C36" s="1149"/>
      <c r="D36" s="1149"/>
    </row>
    <row r="37" spans="1:6" ht="11.25" customHeight="1">
      <c r="B37" s="212"/>
      <c r="C37" s="213"/>
      <c r="D37" s="214"/>
    </row>
    <row r="38" spans="1:6" ht="11.25" customHeight="1">
      <c r="C38" s="216"/>
    </row>
    <row r="39" spans="1:6" ht="11.25" customHeight="1">
      <c r="A39" s="1149"/>
      <c r="B39" s="1149"/>
      <c r="C39" s="1149"/>
      <c r="D39" s="1149"/>
    </row>
    <row r="40" spans="1:6" ht="11.25" customHeight="1">
      <c r="C40" s="216"/>
    </row>
    <row r="52" spans="1:17" s="217" customFormat="1" ht="12" customHeight="1">
      <c r="A52" s="240"/>
      <c r="B52" s="215"/>
      <c r="E52" s="944"/>
      <c r="F52" s="944"/>
      <c r="G52" s="944"/>
      <c r="H52" s="944"/>
      <c r="I52" s="944"/>
      <c r="J52" s="944"/>
      <c r="K52" s="944"/>
      <c r="L52" s="944"/>
      <c r="M52" s="944"/>
      <c r="N52" s="944"/>
      <c r="O52" s="944"/>
      <c r="P52" s="944"/>
      <c r="Q52" s="944"/>
    </row>
    <row r="53" spans="1:17" s="217" customFormat="1" ht="12" customHeight="1">
      <c r="A53" s="240"/>
      <c r="B53" s="215"/>
      <c r="E53" s="944"/>
      <c r="F53" s="944"/>
      <c r="G53" s="944"/>
      <c r="H53" s="944"/>
      <c r="I53" s="944"/>
      <c r="J53" s="944"/>
      <c r="K53" s="944"/>
      <c r="L53" s="944"/>
      <c r="M53" s="944"/>
      <c r="N53" s="944"/>
      <c r="O53" s="944"/>
      <c r="P53" s="944"/>
      <c r="Q53" s="944"/>
    </row>
    <row r="54" spans="1:17" s="217" customFormat="1" ht="12" customHeight="1">
      <c r="A54" s="240"/>
      <c r="B54" s="215"/>
      <c r="E54" s="944"/>
      <c r="F54" s="944"/>
      <c r="G54" s="944"/>
      <c r="H54" s="944"/>
      <c r="I54" s="944"/>
      <c r="J54" s="944"/>
      <c r="K54" s="944"/>
      <c r="L54" s="944"/>
      <c r="M54" s="944"/>
      <c r="N54" s="944"/>
      <c r="O54" s="944"/>
      <c r="P54" s="944"/>
      <c r="Q54" s="944"/>
    </row>
    <row r="55" spans="1:17" s="217" customFormat="1" ht="12" customHeight="1">
      <c r="A55" s="240"/>
      <c r="B55" s="215"/>
      <c r="E55" s="944"/>
      <c r="F55" s="944"/>
      <c r="G55" s="944"/>
      <c r="H55" s="944"/>
      <c r="I55" s="944"/>
      <c r="J55" s="944"/>
      <c r="K55" s="944"/>
      <c r="L55" s="944"/>
      <c r="M55" s="944"/>
      <c r="N55" s="944"/>
      <c r="O55" s="944"/>
      <c r="P55" s="944"/>
      <c r="Q55" s="944"/>
    </row>
    <row r="56" spans="1:17" s="217" customFormat="1" ht="12" customHeight="1">
      <c r="A56" s="240"/>
      <c r="B56" s="215"/>
      <c r="E56" s="944"/>
      <c r="F56" s="944"/>
      <c r="G56" s="944"/>
      <c r="H56" s="944"/>
      <c r="I56" s="944"/>
      <c r="J56" s="944"/>
      <c r="K56" s="944"/>
      <c r="L56" s="944"/>
      <c r="M56" s="944"/>
      <c r="N56" s="944"/>
      <c r="O56" s="944"/>
      <c r="P56" s="944"/>
      <c r="Q56" s="944"/>
    </row>
    <row r="57" spans="1:17" s="217" customFormat="1" ht="12" customHeight="1">
      <c r="A57" s="240"/>
      <c r="B57" s="215"/>
      <c r="E57" s="944"/>
      <c r="F57" s="944"/>
      <c r="G57" s="944"/>
      <c r="H57" s="944"/>
      <c r="I57" s="944"/>
      <c r="J57" s="944"/>
      <c r="K57" s="944"/>
      <c r="L57" s="944"/>
      <c r="M57" s="944"/>
      <c r="N57" s="944"/>
      <c r="O57" s="944"/>
      <c r="P57" s="944"/>
      <c r="Q57" s="944"/>
    </row>
    <row r="58" spans="1:17" s="217" customFormat="1" ht="12" customHeight="1">
      <c r="A58" s="240"/>
      <c r="B58" s="215"/>
      <c r="E58" s="944"/>
      <c r="F58" s="944"/>
      <c r="G58" s="944"/>
      <c r="H58" s="944"/>
      <c r="I58" s="944"/>
      <c r="J58" s="944"/>
      <c r="K58" s="944"/>
      <c r="L58" s="944"/>
      <c r="M58" s="944"/>
      <c r="N58" s="944"/>
      <c r="O58" s="944"/>
      <c r="P58" s="944"/>
      <c r="Q58" s="944"/>
    </row>
    <row r="59" spans="1:17" s="217" customFormat="1" ht="12" customHeight="1">
      <c r="A59" s="240"/>
      <c r="B59" s="215"/>
      <c r="E59" s="944"/>
      <c r="F59" s="944"/>
      <c r="G59" s="944"/>
      <c r="H59" s="944"/>
      <c r="I59" s="944"/>
      <c r="J59" s="944"/>
      <c r="K59" s="944"/>
      <c r="L59" s="944"/>
      <c r="M59" s="944"/>
      <c r="N59" s="944"/>
      <c r="O59" s="944"/>
      <c r="P59" s="944"/>
      <c r="Q59" s="944"/>
    </row>
    <row r="60" spans="1:17" s="217" customFormat="1" ht="12" customHeight="1">
      <c r="A60" s="240"/>
      <c r="B60" s="215"/>
      <c r="E60" s="944"/>
      <c r="F60" s="944"/>
      <c r="G60" s="944"/>
      <c r="H60" s="944"/>
      <c r="I60" s="944"/>
      <c r="J60" s="944"/>
      <c r="K60" s="944"/>
      <c r="L60" s="944"/>
      <c r="M60" s="944"/>
      <c r="N60" s="944"/>
      <c r="O60" s="944"/>
      <c r="P60" s="944"/>
      <c r="Q60" s="944"/>
    </row>
    <row r="61" spans="1:17" s="217" customFormat="1" ht="12" customHeight="1">
      <c r="A61" s="240"/>
      <c r="B61" s="215"/>
      <c r="E61" s="944"/>
      <c r="F61" s="944"/>
      <c r="G61" s="944"/>
      <c r="H61" s="944"/>
      <c r="I61" s="944"/>
      <c r="J61" s="944"/>
      <c r="K61" s="944"/>
      <c r="L61" s="944"/>
      <c r="M61" s="944"/>
      <c r="N61" s="944"/>
      <c r="O61" s="944"/>
      <c r="P61" s="944"/>
      <c r="Q61" s="944"/>
    </row>
    <row r="62" spans="1:17" s="217" customFormat="1" ht="12" customHeight="1">
      <c r="A62" s="240"/>
      <c r="B62" s="215"/>
      <c r="E62" s="944"/>
      <c r="F62" s="944"/>
      <c r="G62" s="944"/>
      <c r="H62" s="944"/>
      <c r="I62" s="944"/>
      <c r="J62" s="944"/>
      <c r="K62" s="944"/>
      <c r="L62" s="944"/>
      <c r="M62" s="944"/>
      <c r="N62" s="944"/>
      <c r="O62" s="944"/>
      <c r="P62" s="944"/>
      <c r="Q62" s="944"/>
    </row>
    <row r="63" spans="1:17" s="217" customFormat="1" ht="12" customHeight="1">
      <c r="A63" s="240"/>
      <c r="B63" s="215"/>
      <c r="E63" s="944"/>
      <c r="F63" s="944"/>
      <c r="G63" s="944"/>
      <c r="H63" s="944"/>
      <c r="I63" s="944"/>
      <c r="J63" s="944"/>
      <c r="K63" s="944"/>
      <c r="L63" s="944"/>
      <c r="M63" s="944"/>
      <c r="N63" s="944"/>
      <c r="O63" s="944"/>
      <c r="P63" s="944"/>
      <c r="Q63" s="944"/>
    </row>
    <row r="64" spans="1:17" s="217" customFormat="1" ht="12" customHeight="1">
      <c r="A64" s="240"/>
      <c r="B64" s="215"/>
      <c r="E64" s="944"/>
      <c r="F64" s="944"/>
      <c r="G64" s="944"/>
      <c r="H64" s="944"/>
      <c r="I64" s="944"/>
      <c r="J64" s="944"/>
      <c r="K64" s="944"/>
      <c r="L64" s="944"/>
      <c r="M64" s="944"/>
      <c r="N64" s="944"/>
      <c r="O64" s="944"/>
      <c r="P64" s="944"/>
      <c r="Q64" s="944"/>
    </row>
    <row r="65" spans="1:17" s="217" customFormat="1" ht="12" customHeight="1">
      <c r="A65" s="240"/>
      <c r="B65" s="215"/>
      <c r="E65" s="944"/>
      <c r="F65" s="944"/>
      <c r="G65" s="944"/>
      <c r="H65" s="944"/>
      <c r="I65" s="944"/>
      <c r="J65" s="944"/>
      <c r="K65" s="944"/>
      <c r="L65" s="944"/>
      <c r="M65" s="944"/>
      <c r="N65" s="944"/>
      <c r="O65" s="944"/>
      <c r="P65" s="944"/>
      <c r="Q65" s="944"/>
    </row>
    <row r="66" spans="1:17" s="217" customFormat="1" ht="12" customHeight="1">
      <c r="A66" s="240"/>
      <c r="B66" s="215"/>
      <c r="E66" s="944"/>
      <c r="F66" s="944"/>
      <c r="G66" s="944"/>
      <c r="H66" s="944"/>
      <c r="I66" s="944"/>
      <c r="J66" s="944"/>
      <c r="K66" s="944"/>
      <c r="L66" s="944"/>
      <c r="M66" s="944"/>
      <c r="N66" s="944"/>
      <c r="O66" s="944"/>
      <c r="P66" s="944"/>
      <c r="Q66" s="944"/>
    </row>
    <row r="67" spans="1:17" s="217" customFormat="1" ht="12" customHeight="1">
      <c r="A67" s="240"/>
      <c r="B67" s="215"/>
      <c r="E67" s="944"/>
      <c r="F67" s="944"/>
      <c r="G67" s="944"/>
      <c r="H67" s="944"/>
      <c r="I67" s="944"/>
      <c r="J67" s="944"/>
      <c r="K67" s="944"/>
      <c r="L67" s="944"/>
      <c r="M67" s="944"/>
      <c r="N67" s="944"/>
      <c r="O67" s="944"/>
      <c r="P67" s="944"/>
      <c r="Q67" s="944"/>
    </row>
    <row r="68" spans="1:17" s="217" customFormat="1" ht="12" customHeight="1">
      <c r="A68" s="240"/>
      <c r="B68" s="215"/>
      <c r="E68" s="944"/>
      <c r="F68" s="944"/>
      <c r="G68" s="944"/>
      <c r="H68" s="944"/>
      <c r="I68" s="944"/>
      <c r="J68" s="944"/>
      <c r="K68" s="944"/>
      <c r="L68" s="944"/>
      <c r="M68" s="944"/>
      <c r="N68" s="944"/>
      <c r="O68" s="944"/>
      <c r="P68" s="944"/>
      <c r="Q68" s="944"/>
    </row>
    <row r="69" spans="1:17" s="217" customFormat="1" ht="12" customHeight="1">
      <c r="A69" s="240"/>
      <c r="B69" s="215"/>
      <c r="E69" s="944"/>
      <c r="F69" s="944"/>
      <c r="G69" s="944"/>
      <c r="H69" s="944"/>
      <c r="I69" s="944"/>
      <c r="J69" s="944"/>
      <c r="K69" s="944"/>
      <c r="L69" s="944"/>
      <c r="M69" s="944"/>
      <c r="N69" s="944"/>
      <c r="O69" s="944"/>
      <c r="P69" s="944"/>
      <c r="Q69" s="944"/>
    </row>
    <row r="70" spans="1:17" s="217" customFormat="1" ht="12" customHeight="1">
      <c r="A70" s="240"/>
      <c r="B70" s="215"/>
      <c r="E70" s="944"/>
      <c r="F70" s="944"/>
      <c r="G70" s="944"/>
      <c r="H70" s="944"/>
      <c r="I70" s="944"/>
      <c r="J70" s="944"/>
      <c r="K70" s="944"/>
      <c r="L70" s="944"/>
      <c r="M70" s="944"/>
      <c r="N70" s="944"/>
      <c r="O70" s="944"/>
      <c r="P70" s="944"/>
      <c r="Q70" s="944"/>
    </row>
    <row r="71" spans="1:17" s="217" customFormat="1" ht="12" customHeight="1">
      <c r="A71" s="240"/>
      <c r="B71" s="215"/>
      <c r="E71" s="944"/>
      <c r="F71" s="944"/>
      <c r="G71" s="944"/>
      <c r="H71" s="944"/>
      <c r="I71" s="944"/>
      <c r="J71" s="944"/>
      <c r="K71" s="944"/>
      <c r="L71" s="944"/>
      <c r="M71" s="944"/>
      <c r="N71" s="944"/>
      <c r="O71" s="944"/>
      <c r="P71" s="944"/>
      <c r="Q71" s="944"/>
    </row>
    <row r="72" spans="1:17" s="217" customFormat="1" ht="12" customHeight="1">
      <c r="A72" s="240"/>
      <c r="B72" s="215"/>
      <c r="E72" s="944"/>
      <c r="F72" s="944"/>
      <c r="G72" s="944"/>
      <c r="H72" s="944"/>
      <c r="I72" s="944"/>
      <c r="J72" s="944"/>
      <c r="K72" s="944"/>
      <c r="L72" s="944"/>
      <c r="M72" s="944"/>
      <c r="N72" s="944"/>
      <c r="O72" s="944"/>
      <c r="P72" s="944"/>
      <c r="Q72" s="944"/>
    </row>
    <row r="73" spans="1:17" s="217" customFormat="1" ht="12" customHeight="1">
      <c r="A73" s="240"/>
      <c r="B73" s="215"/>
      <c r="E73" s="944"/>
      <c r="F73" s="944"/>
      <c r="G73" s="944"/>
      <c r="H73" s="944"/>
      <c r="I73" s="944"/>
      <c r="J73" s="944"/>
      <c r="K73" s="944"/>
      <c r="L73" s="944"/>
      <c r="M73" s="944"/>
      <c r="N73" s="944"/>
      <c r="O73" s="944"/>
      <c r="P73" s="944"/>
      <c r="Q73" s="944"/>
    </row>
    <row r="74" spans="1:17" s="217" customFormat="1" ht="12" customHeight="1">
      <c r="A74" s="240"/>
      <c r="B74" s="215"/>
      <c r="E74" s="944"/>
      <c r="F74" s="944"/>
      <c r="G74" s="944"/>
      <c r="H74" s="944"/>
      <c r="I74" s="944"/>
      <c r="J74" s="944"/>
      <c r="K74" s="944"/>
      <c r="L74" s="944"/>
      <c r="M74" s="944"/>
      <c r="N74" s="944"/>
      <c r="O74" s="944"/>
      <c r="P74" s="944"/>
      <c r="Q74" s="944"/>
    </row>
    <row r="75" spans="1:17" s="217" customFormat="1" ht="12" customHeight="1">
      <c r="A75" s="240"/>
      <c r="B75" s="215"/>
      <c r="E75" s="944"/>
      <c r="F75" s="944"/>
      <c r="G75" s="944"/>
      <c r="H75" s="944"/>
      <c r="I75" s="944"/>
      <c r="J75" s="944"/>
      <c r="K75" s="944"/>
      <c r="L75" s="944"/>
      <c r="M75" s="944"/>
      <c r="N75" s="944"/>
      <c r="O75" s="944"/>
      <c r="P75" s="944"/>
      <c r="Q75" s="944"/>
    </row>
    <row r="76" spans="1:17" s="217" customFormat="1" ht="12" customHeight="1">
      <c r="A76" s="240"/>
      <c r="B76" s="215"/>
      <c r="E76" s="944"/>
      <c r="F76" s="944"/>
      <c r="G76" s="944"/>
      <c r="H76" s="944"/>
      <c r="I76" s="944"/>
      <c r="J76" s="944"/>
      <c r="K76" s="944"/>
      <c r="L76" s="944"/>
      <c r="M76" s="944"/>
      <c r="N76" s="944"/>
      <c r="O76" s="944"/>
      <c r="P76" s="944"/>
      <c r="Q76" s="944"/>
    </row>
    <row r="77" spans="1:17" s="217" customFormat="1" ht="12" customHeight="1">
      <c r="A77" s="240"/>
      <c r="B77" s="215"/>
      <c r="E77" s="944"/>
      <c r="F77" s="944"/>
      <c r="G77" s="944"/>
      <c r="H77" s="944"/>
      <c r="I77" s="944"/>
      <c r="J77" s="944"/>
      <c r="K77" s="944"/>
      <c r="L77" s="944"/>
      <c r="M77" s="944"/>
      <c r="N77" s="944"/>
      <c r="O77" s="944"/>
      <c r="P77" s="944"/>
      <c r="Q77" s="944"/>
    </row>
    <row r="78" spans="1:17" s="217" customFormat="1" ht="12" customHeight="1">
      <c r="A78" s="240"/>
      <c r="B78" s="215"/>
      <c r="E78" s="944"/>
      <c r="F78" s="944"/>
      <c r="G78" s="944"/>
      <c r="H78" s="944"/>
      <c r="I78" s="944"/>
      <c r="J78" s="944"/>
      <c r="K78" s="944"/>
      <c r="L78" s="944"/>
      <c r="M78" s="944"/>
      <c r="N78" s="944"/>
      <c r="O78" s="944"/>
      <c r="P78" s="944"/>
      <c r="Q78" s="944"/>
    </row>
    <row r="79" spans="1:17" s="217" customFormat="1" ht="12" customHeight="1">
      <c r="A79" s="240"/>
      <c r="B79" s="215"/>
      <c r="E79" s="944"/>
      <c r="F79" s="944"/>
      <c r="G79" s="944"/>
      <c r="H79" s="944"/>
      <c r="I79" s="944"/>
      <c r="J79" s="944"/>
      <c r="K79" s="944"/>
      <c r="L79" s="944"/>
      <c r="M79" s="944"/>
      <c r="N79" s="944"/>
      <c r="O79" s="944"/>
      <c r="P79" s="944"/>
      <c r="Q79" s="944"/>
    </row>
    <row r="80" spans="1:17" s="217" customFormat="1" ht="12" customHeight="1">
      <c r="A80" s="240"/>
      <c r="B80" s="215"/>
      <c r="E80" s="944"/>
      <c r="F80" s="944"/>
      <c r="G80" s="944"/>
      <c r="H80" s="944"/>
      <c r="I80" s="944"/>
      <c r="J80" s="944"/>
      <c r="K80" s="944"/>
      <c r="L80" s="944"/>
      <c r="M80" s="944"/>
      <c r="N80" s="944"/>
      <c r="O80" s="944"/>
      <c r="P80" s="944"/>
      <c r="Q80" s="944"/>
    </row>
  </sheetData>
  <mergeCells count="29">
    <mergeCell ref="A7:B7"/>
    <mergeCell ref="A14:B14"/>
    <mergeCell ref="A9:B9"/>
    <mergeCell ref="A10:B10"/>
    <mergeCell ref="A24:B24"/>
    <mergeCell ref="A13:B13"/>
    <mergeCell ref="A23:B23"/>
    <mergeCell ref="A11:B11"/>
    <mergeCell ref="A20:B20"/>
    <mergeCell ref="A19:B19"/>
    <mergeCell ref="A15:B15"/>
    <mergeCell ref="A16:B16"/>
    <mergeCell ref="A17:B17"/>
    <mergeCell ref="A1:F1"/>
    <mergeCell ref="A39:D39"/>
    <mergeCell ref="A18:B18"/>
    <mergeCell ref="A36:D36"/>
    <mergeCell ref="A27:B27"/>
    <mergeCell ref="A29:B29"/>
    <mergeCell ref="A31:B31"/>
    <mergeCell ref="A21:B21"/>
    <mergeCell ref="A22:B22"/>
    <mergeCell ref="A26:B26"/>
    <mergeCell ref="A25:B25"/>
    <mergeCell ref="A32:B32"/>
    <mergeCell ref="A33:B33"/>
    <mergeCell ref="E4:F4"/>
    <mergeCell ref="A4:B4"/>
    <mergeCell ref="A5:B5"/>
  </mergeCells>
  <hyperlinks>
    <hyperlink ref="F19" r:id="rId1" location="24-oma-paaoma" display="http://www.wartsilareports.com/fi-FI/2018/ar/taloudellinen-katsaus/tilinpaatos/konsernitilinpaatos/konsernitilinpaatoksen-liitetiedot/ - 24-oma-paaoma" xr:uid="{C92D2381-60F1-4948-A204-983AE0E5D178}"/>
  </hyperlinks>
  <printOptions horizontalCentered="1"/>
  <pageMargins left="0.78740157480314965" right="0.82677165354330717" top="0.86614173228346458" bottom="0.39370078740157483" header="0.51181102362204722" footer="0.35433070866141736"/>
  <pageSetup paperSize="9" scale="81" fitToHeight="2" orientation="portrait" horizontalDpi="300" verticalDpi="300" r:id="rId2"/>
  <headerFooter alignWithMargins="0"/>
  <customProperties>
    <customPr name="SheetOptions"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R224"/>
  <sheetViews>
    <sheetView zoomScaleNormal="100" workbookViewId="0">
      <selection sqref="A1:F1"/>
    </sheetView>
  </sheetViews>
  <sheetFormatPr defaultColWidth="7.7109375" defaultRowHeight="13.2"/>
  <cols>
    <col min="1" max="1" width="68.28515625" style="215" customWidth="1"/>
    <col min="2" max="3" width="18.28515625" style="216" customWidth="1"/>
    <col min="4" max="5" width="8.28515625" style="216" customWidth="1"/>
    <col min="6" max="6" width="8.28515625" style="414" customWidth="1"/>
    <col min="7" max="18" width="3.7109375" style="944" customWidth="1"/>
    <col min="19" max="16384" width="7.7109375" style="240"/>
  </cols>
  <sheetData>
    <row r="1" spans="1:18" ht="15.75" customHeight="1">
      <c r="A1" s="1175" t="s">
        <v>1240</v>
      </c>
      <c r="B1" s="1175"/>
      <c r="C1" s="1175"/>
      <c r="D1" s="1175"/>
      <c r="E1" s="1175"/>
      <c r="F1" s="1175"/>
    </row>
    <row r="2" spans="1:18" ht="11.25" customHeight="1">
      <c r="A2" s="274"/>
      <c r="B2" s="496"/>
      <c r="C2" s="483"/>
      <c r="D2" s="742"/>
      <c r="E2" s="742"/>
      <c r="F2" s="808"/>
    </row>
    <row r="3" spans="1:18" ht="11.25" customHeight="1">
      <c r="A3" s="274"/>
      <c r="B3" s="496"/>
      <c r="C3" s="1002" t="s">
        <v>1025</v>
      </c>
      <c r="D3" s="1002"/>
      <c r="E3" s="742"/>
      <c r="F3" s="808"/>
      <c r="G3" s="976"/>
      <c r="H3" s="976"/>
      <c r="I3" s="976"/>
      <c r="J3" s="976"/>
      <c r="K3" s="976"/>
      <c r="L3" s="976"/>
      <c r="M3" s="976"/>
      <c r="N3" s="976"/>
      <c r="O3" s="976"/>
      <c r="P3" s="976"/>
      <c r="Q3" s="976"/>
      <c r="R3" s="976"/>
    </row>
    <row r="4" spans="1:18" s="1082" customFormat="1" ht="11.25" customHeight="1">
      <c r="A4" s="419" t="s">
        <v>740</v>
      </c>
      <c r="B4" s="636" t="s">
        <v>1356</v>
      </c>
      <c r="C4" s="276" t="s">
        <v>1230</v>
      </c>
      <c r="D4" s="382"/>
      <c r="E4" s="1176" t="s">
        <v>647</v>
      </c>
      <c r="F4" s="1176"/>
      <c r="G4" s="944"/>
      <c r="H4" s="944"/>
      <c r="I4" s="944"/>
      <c r="J4" s="944"/>
      <c r="K4" s="944"/>
      <c r="L4" s="944"/>
      <c r="M4" s="944"/>
      <c r="N4" s="944"/>
      <c r="O4" s="944"/>
      <c r="P4" s="944"/>
      <c r="Q4" s="944"/>
      <c r="R4" s="944"/>
    </row>
    <row r="5" spans="1:18" s="1082" customFormat="1" ht="11.25" customHeight="1">
      <c r="A5" s="850" t="s">
        <v>556</v>
      </c>
      <c r="B5" s="857"/>
      <c r="C5" s="858"/>
      <c r="D5" s="548"/>
      <c r="E5" s="548"/>
      <c r="F5" s="548"/>
      <c r="G5" s="944"/>
      <c r="H5" s="944"/>
      <c r="I5" s="944"/>
      <c r="J5" s="944"/>
      <c r="K5" s="944"/>
      <c r="L5" s="944"/>
      <c r="M5" s="944"/>
      <c r="N5" s="944"/>
      <c r="O5" s="944"/>
      <c r="P5" s="944"/>
      <c r="Q5" s="944"/>
      <c r="R5" s="944"/>
    </row>
    <row r="6" spans="1:18" s="1082" customFormat="1" ht="11.25" customHeight="1">
      <c r="A6" s="850"/>
      <c r="B6" s="857"/>
      <c r="C6" s="858"/>
      <c r="D6" s="548"/>
      <c r="E6" s="548"/>
      <c r="F6" s="548"/>
      <c r="G6" s="944"/>
      <c r="H6" s="944"/>
      <c r="I6" s="944"/>
      <c r="J6" s="944"/>
      <c r="K6" s="944"/>
      <c r="L6" s="944"/>
      <c r="M6" s="944"/>
      <c r="N6" s="944"/>
      <c r="O6" s="944"/>
      <c r="P6" s="944"/>
      <c r="Q6" s="944"/>
      <c r="R6" s="944"/>
    </row>
    <row r="7" spans="1:18" s="1082" customFormat="1" ht="11.25" customHeight="1">
      <c r="A7" s="498" t="s">
        <v>18</v>
      </c>
      <c r="B7" s="637"/>
      <c r="C7" s="499"/>
      <c r="D7" s="499"/>
      <c r="E7" s="499"/>
      <c r="F7" s="500"/>
      <c r="G7" s="944"/>
      <c r="H7" s="944"/>
      <c r="I7" s="944"/>
      <c r="J7" s="944"/>
      <c r="K7" s="944"/>
      <c r="L7" s="944"/>
      <c r="M7" s="944"/>
      <c r="N7" s="944"/>
      <c r="O7" s="944"/>
      <c r="P7" s="944"/>
      <c r="Q7" s="944"/>
      <c r="R7" s="944"/>
    </row>
    <row r="8" spans="1:18" s="1082" customFormat="1" ht="11.25" customHeight="1">
      <c r="A8" s="441" t="s">
        <v>311</v>
      </c>
      <c r="B8" s="638">
        <v>1355</v>
      </c>
      <c r="C8" s="442">
        <v>1237</v>
      </c>
      <c r="D8" s="502"/>
      <c r="E8" s="502"/>
      <c r="F8" s="745">
        <v>13</v>
      </c>
      <c r="G8" s="944"/>
      <c r="H8" s="944"/>
      <c r="I8" s="944"/>
      <c r="J8" s="944"/>
      <c r="K8" s="944"/>
      <c r="L8" s="944"/>
      <c r="M8" s="944"/>
      <c r="N8" s="944"/>
      <c r="O8" s="944"/>
      <c r="P8" s="944"/>
      <c r="Q8" s="944"/>
      <c r="R8" s="944"/>
    </row>
    <row r="9" spans="1:18" s="1082" customFormat="1" ht="11.25" customHeight="1">
      <c r="A9" s="435" t="s">
        <v>310</v>
      </c>
      <c r="B9" s="621">
        <v>392</v>
      </c>
      <c r="C9" s="424">
        <v>339</v>
      </c>
      <c r="D9" s="502"/>
      <c r="E9" s="502"/>
      <c r="F9" s="745">
        <v>13</v>
      </c>
      <c r="G9" s="944"/>
      <c r="H9" s="944"/>
      <c r="I9" s="944"/>
      <c r="J9" s="944"/>
      <c r="K9" s="944"/>
      <c r="L9" s="944"/>
      <c r="M9" s="944"/>
      <c r="N9" s="944"/>
      <c r="O9" s="944"/>
      <c r="P9" s="944"/>
      <c r="Q9" s="944"/>
      <c r="R9" s="944"/>
    </row>
    <row r="10" spans="1:18" s="1082" customFormat="1" ht="11.25" customHeight="1">
      <c r="A10" s="435" t="s">
        <v>312</v>
      </c>
      <c r="B10" s="933">
        <v>324</v>
      </c>
      <c r="C10" s="424">
        <v>349</v>
      </c>
      <c r="D10" s="502"/>
      <c r="E10" s="502"/>
      <c r="F10" s="745">
        <v>14</v>
      </c>
      <c r="G10" s="944"/>
      <c r="H10" s="944"/>
      <c r="I10" s="944"/>
      <c r="J10" s="944"/>
      <c r="K10" s="944"/>
      <c r="L10" s="944"/>
      <c r="M10" s="944"/>
      <c r="N10" s="944"/>
      <c r="O10" s="944"/>
      <c r="P10" s="944"/>
      <c r="Q10" s="944"/>
      <c r="R10" s="944"/>
    </row>
    <row r="11" spans="1:18" s="1082" customFormat="1" ht="11.25" customHeight="1">
      <c r="A11" s="983" t="s">
        <v>83</v>
      </c>
      <c r="B11" s="630">
        <v>66</v>
      </c>
      <c r="C11" s="502">
        <v>83</v>
      </c>
      <c r="D11" s="502"/>
      <c r="E11" s="502"/>
      <c r="F11" s="745">
        <v>15</v>
      </c>
      <c r="G11" s="944"/>
      <c r="H11" s="944"/>
      <c r="I11" s="944"/>
      <c r="J11" s="944"/>
      <c r="K11" s="944"/>
      <c r="L11" s="944"/>
      <c r="M11" s="944"/>
      <c r="N11" s="944"/>
      <c r="O11" s="944"/>
      <c r="P11" s="944"/>
      <c r="Q11" s="944"/>
      <c r="R11" s="944"/>
    </row>
    <row r="12" spans="1:18" s="1082" customFormat="1" ht="11.25" customHeight="1">
      <c r="A12" s="983" t="s">
        <v>1261</v>
      </c>
      <c r="B12" s="630">
        <v>16</v>
      </c>
      <c r="C12" s="502">
        <v>13</v>
      </c>
      <c r="D12" s="743"/>
      <c r="E12" s="743"/>
      <c r="F12" s="745">
        <v>16</v>
      </c>
      <c r="G12" s="944"/>
      <c r="H12" s="944"/>
      <c r="I12" s="944"/>
      <c r="J12" s="944"/>
      <c r="K12" s="944"/>
      <c r="L12" s="944"/>
      <c r="M12" s="944"/>
      <c r="N12" s="944"/>
      <c r="O12" s="944"/>
      <c r="P12" s="944"/>
      <c r="Q12" s="944"/>
      <c r="R12" s="944"/>
    </row>
    <row r="13" spans="1:18" s="1082" customFormat="1" ht="11.25" customHeight="1">
      <c r="A13" s="983" t="s">
        <v>607</v>
      </c>
      <c r="B13" s="630">
        <v>3</v>
      </c>
      <c r="C13" s="502">
        <v>5</v>
      </c>
      <c r="D13" s="502"/>
      <c r="E13" s="502"/>
      <c r="F13" s="745">
        <v>16</v>
      </c>
      <c r="G13" s="944"/>
      <c r="H13" s="944"/>
      <c r="I13" s="944"/>
      <c r="J13" s="944"/>
      <c r="K13" s="944"/>
      <c r="L13" s="944"/>
      <c r="M13" s="944"/>
      <c r="N13" s="944"/>
      <c r="O13" s="944"/>
      <c r="P13" s="944"/>
      <c r="Q13" s="944"/>
      <c r="R13" s="944"/>
    </row>
    <row r="14" spans="1:18" s="1082" customFormat="1" ht="11.25" customHeight="1">
      <c r="A14" s="983" t="s">
        <v>773</v>
      </c>
      <c r="B14" s="630">
        <v>129</v>
      </c>
      <c r="C14" s="502">
        <v>131</v>
      </c>
      <c r="D14" s="502"/>
      <c r="E14" s="502"/>
      <c r="F14" s="745">
        <v>22</v>
      </c>
      <c r="G14" s="944"/>
      <c r="H14" s="944"/>
      <c r="I14" s="944"/>
      <c r="J14" s="944"/>
      <c r="K14" s="944"/>
      <c r="L14" s="944"/>
      <c r="M14" s="944"/>
      <c r="N14" s="944"/>
      <c r="O14" s="944"/>
      <c r="P14" s="944"/>
      <c r="Q14" s="944"/>
      <c r="R14" s="944"/>
    </row>
    <row r="15" spans="1:18" s="1082" customFormat="1" ht="11.25" customHeight="1">
      <c r="A15" s="983" t="s">
        <v>610</v>
      </c>
      <c r="B15" s="630">
        <v>49</v>
      </c>
      <c r="C15" s="502">
        <v>109</v>
      </c>
      <c r="D15" s="745"/>
      <c r="E15" s="745">
        <v>16</v>
      </c>
      <c r="F15" s="745">
        <v>18</v>
      </c>
      <c r="G15" s="944"/>
      <c r="H15" s="944"/>
      <c r="I15" s="944"/>
      <c r="J15" s="944"/>
      <c r="K15" s="944"/>
      <c r="L15" s="944"/>
      <c r="M15" s="944"/>
      <c r="N15" s="944"/>
      <c r="O15" s="944"/>
      <c r="P15" s="944"/>
      <c r="Q15" s="944"/>
      <c r="R15" s="944"/>
    </row>
    <row r="16" spans="1:18" s="1082" customFormat="1" ht="11.25" customHeight="1">
      <c r="A16" s="1004" t="s">
        <v>608</v>
      </c>
      <c r="B16" s="625">
        <v>34</v>
      </c>
      <c r="C16" s="480">
        <v>18</v>
      </c>
      <c r="D16" s="480"/>
      <c r="E16" s="480"/>
      <c r="F16" s="1101">
        <v>19</v>
      </c>
      <c r="G16" s="944"/>
      <c r="H16" s="944"/>
      <c r="I16" s="944"/>
      <c r="J16" s="944"/>
      <c r="K16" s="944"/>
      <c r="L16" s="944"/>
      <c r="M16" s="944"/>
      <c r="N16" s="944"/>
      <c r="O16" s="944"/>
      <c r="P16" s="944"/>
      <c r="Q16" s="944"/>
      <c r="R16" s="944"/>
    </row>
    <row r="17" spans="1:18" s="1082" customFormat="1" ht="11.25" customHeight="1">
      <c r="A17" s="993" t="s">
        <v>1073</v>
      </c>
      <c r="B17" s="630">
        <v>2369</v>
      </c>
      <c r="C17" s="502">
        <v>2285</v>
      </c>
      <c r="D17" s="502"/>
      <c r="E17" s="502"/>
      <c r="F17" s="501"/>
      <c r="G17" s="944"/>
      <c r="H17" s="944"/>
      <c r="I17" s="944"/>
      <c r="J17" s="944"/>
      <c r="K17" s="944"/>
      <c r="L17" s="944"/>
      <c r="M17" s="944"/>
      <c r="N17" s="944"/>
      <c r="O17" s="944"/>
      <c r="P17" s="944"/>
      <c r="Q17" s="944"/>
      <c r="R17" s="944"/>
    </row>
    <row r="18" spans="1:18" s="1082" customFormat="1" ht="11.25" customHeight="1">
      <c r="A18" s="993"/>
      <c r="B18" s="639"/>
      <c r="C18" s="499"/>
      <c r="D18" s="499"/>
      <c r="E18" s="499"/>
      <c r="F18" s="501"/>
      <c r="G18" s="944"/>
      <c r="H18" s="944"/>
      <c r="I18" s="944"/>
      <c r="J18" s="944"/>
      <c r="K18" s="944"/>
      <c r="L18" s="944"/>
      <c r="M18" s="944"/>
      <c r="N18" s="944"/>
      <c r="O18" s="944"/>
      <c r="P18" s="944"/>
      <c r="Q18" s="944"/>
      <c r="R18" s="944"/>
    </row>
    <row r="19" spans="1:18" s="1082" customFormat="1" ht="11.25" customHeight="1">
      <c r="A19" s="982" t="s">
        <v>21</v>
      </c>
      <c r="B19" s="639"/>
      <c r="C19" s="499"/>
      <c r="D19" s="499"/>
      <c r="E19" s="499"/>
      <c r="F19" s="501"/>
      <c r="G19" s="944"/>
      <c r="H19" s="944"/>
      <c r="I19" s="944"/>
      <c r="J19" s="944"/>
      <c r="K19" s="944"/>
      <c r="L19" s="944"/>
      <c r="M19" s="944"/>
      <c r="N19" s="944"/>
      <c r="O19" s="944"/>
      <c r="P19" s="944"/>
      <c r="Q19" s="944"/>
      <c r="R19" s="944"/>
    </row>
    <row r="20" spans="1:18" s="1082" customFormat="1" ht="11.25" customHeight="1">
      <c r="A20" s="983" t="s">
        <v>544</v>
      </c>
      <c r="B20" s="630">
        <v>1165</v>
      </c>
      <c r="C20" s="502">
        <v>1051</v>
      </c>
      <c r="D20" s="502"/>
      <c r="E20" s="502"/>
      <c r="F20" s="745">
        <v>17</v>
      </c>
      <c r="G20" s="944"/>
      <c r="H20" s="944"/>
      <c r="I20" s="944"/>
      <c r="J20" s="944"/>
      <c r="K20" s="944"/>
      <c r="L20" s="944"/>
      <c r="M20" s="944"/>
      <c r="N20" s="944"/>
      <c r="O20" s="944"/>
      <c r="P20" s="944"/>
      <c r="Q20" s="944"/>
      <c r="R20" s="944"/>
    </row>
    <row r="21" spans="1:18" s="1082" customFormat="1" ht="11.25" customHeight="1">
      <c r="A21" s="983" t="s">
        <v>610</v>
      </c>
      <c r="B21" s="630">
        <v>1222</v>
      </c>
      <c r="C21" s="502">
        <v>1307</v>
      </c>
      <c r="D21" s="745"/>
      <c r="E21" s="745">
        <v>16</v>
      </c>
      <c r="F21" s="745">
        <v>18</v>
      </c>
      <c r="G21" s="944"/>
      <c r="H21" s="944"/>
      <c r="I21" s="944"/>
      <c r="J21" s="944"/>
      <c r="K21" s="944"/>
      <c r="L21" s="944"/>
      <c r="M21" s="944"/>
      <c r="N21" s="944"/>
      <c r="O21" s="944"/>
      <c r="P21" s="944"/>
      <c r="Q21" s="944"/>
      <c r="R21" s="944"/>
    </row>
    <row r="22" spans="1:18" s="1082" customFormat="1" ht="11.25" customHeight="1">
      <c r="A22" s="983" t="s">
        <v>611</v>
      </c>
      <c r="B22" s="630">
        <v>31</v>
      </c>
      <c r="C22" s="502">
        <v>53</v>
      </c>
      <c r="D22" s="502"/>
      <c r="E22" s="502"/>
      <c r="F22" s="745"/>
      <c r="G22" s="944"/>
      <c r="H22" s="944"/>
      <c r="I22" s="944"/>
      <c r="J22" s="944"/>
      <c r="K22" s="944"/>
      <c r="L22" s="944"/>
      <c r="M22" s="944"/>
      <c r="N22" s="944"/>
      <c r="O22" s="944"/>
      <c r="P22" s="944"/>
      <c r="Q22" s="944"/>
      <c r="R22" s="944"/>
    </row>
    <row r="23" spans="1:18" s="1082" customFormat="1" ht="11.25" customHeight="1">
      <c r="A23" s="983" t="s">
        <v>1405</v>
      </c>
      <c r="B23" s="630">
        <v>557</v>
      </c>
      <c r="C23" s="502">
        <v>351</v>
      </c>
      <c r="D23" s="502"/>
      <c r="E23" s="502"/>
      <c r="F23" s="745">
        <v>18</v>
      </c>
      <c r="G23" s="996"/>
      <c r="H23" s="996"/>
      <c r="I23" s="996"/>
      <c r="J23" s="996"/>
      <c r="K23" s="996"/>
      <c r="L23" s="996"/>
      <c r="M23" s="996"/>
      <c r="N23" s="996"/>
      <c r="O23" s="996"/>
      <c r="P23" s="996"/>
      <c r="Q23" s="996"/>
      <c r="R23" s="996"/>
    </row>
    <row r="24" spans="1:18" s="1082" customFormat="1" ht="11.25" customHeight="1">
      <c r="A24" s="983" t="s">
        <v>608</v>
      </c>
      <c r="B24" s="630">
        <v>228</v>
      </c>
      <c r="C24" s="502">
        <v>221</v>
      </c>
      <c r="D24" s="502"/>
      <c r="E24" s="502"/>
      <c r="F24" s="745">
        <v>19</v>
      </c>
      <c r="G24" s="944"/>
      <c r="H24" s="944"/>
      <c r="I24" s="944"/>
      <c r="J24" s="944"/>
      <c r="K24" s="944"/>
      <c r="L24" s="944"/>
      <c r="M24" s="944"/>
      <c r="N24" s="944"/>
      <c r="O24" s="944"/>
      <c r="P24" s="944"/>
      <c r="Q24" s="944"/>
      <c r="R24" s="944"/>
    </row>
    <row r="25" spans="1:18" s="1082" customFormat="1" ht="11.25" customHeight="1">
      <c r="A25" s="1004" t="s">
        <v>550</v>
      </c>
      <c r="B25" s="625">
        <v>487</v>
      </c>
      <c r="C25" s="480">
        <v>379</v>
      </c>
      <c r="D25" s="1101"/>
      <c r="E25" s="1101">
        <v>20</v>
      </c>
      <c r="F25" s="1101">
        <v>21</v>
      </c>
      <c r="G25" s="944"/>
      <c r="H25" s="944"/>
      <c r="I25" s="944"/>
      <c r="J25" s="944"/>
      <c r="K25" s="944"/>
      <c r="L25" s="944"/>
      <c r="M25" s="944"/>
      <c r="N25" s="944"/>
      <c r="O25" s="944"/>
      <c r="P25" s="944"/>
      <c r="Q25" s="944"/>
      <c r="R25" s="944"/>
    </row>
    <row r="26" spans="1:18" s="1082" customFormat="1" ht="11.25" customHeight="1">
      <c r="A26" s="993" t="s">
        <v>1074</v>
      </c>
      <c r="B26" s="630">
        <v>3690</v>
      </c>
      <c r="C26" s="502">
        <v>3363</v>
      </c>
      <c r="D26" s="502"/>
      <c r="E26" s="502"/>
      <c r="F26" s="501"/>
      <c r="G26" s="944"/>
      <c r="H26" s="944"/>
      <c r="I26" s="944"/>
      <c r="J26" s="944"/>
      <c r="K26" s="944"/>
      <c r="L26" s="944"/>
      <c r="M26" s="944"/>
      <c r="N26" s="944"/>
      <c r="O26" s="944"/>
      <c r="P26" s="944"/>
      <c r="Q26" s="944"/>
      <c r="R26" s="944"/>
    </row>
    <row r="27" spans="1:18" s="1082" customFormat="1" ht="11.25" customHeight="1">
      <c r="A27" s="590"/>
      <c r="B27" s="666"/>
      <c r="C27" s="479"/>
      <c r="D27" s="479"/>
      <c r="E27" s="479"/>
      <c r="F27" s="1105"/>
      <c r="G27" s="944"/>
      <c r="H27" s="944"/>
      <c r="I27" s="944"/>
      <c r="J27" s="944"/>
      <c r="K27" s="944"/>
      <c r="L27" s="944"/>
      <c r="M27" s="944"/>
      <c r="N27" s="944"/>
      <c r="O27" s="944"/>
      <c r="P27" s="944"/>
      <c r="Q27" s="944"/>
      <c r="R27" s="944"/>
    </row>
    <row r="28" spans="1:18" s="1082" customFormat="1" ht="11.25" customHeight="1">
      <c r="A28" s="939" t="s">
        <v>402</v>
      </c>
      <c r="B28" s="626">
        <v>6059</v>
      </c>
      <c r="C28" s="526">
        <v>5648</v>
      </c>
      <c r="D28" s="526"/>
      <c r="E28" s="526"/>
      <c r="F28" s="528"/>
      <c r="G28" s="944"/>
      <c r="H28" s="944"/>
      <c r="I28" s="944"/>
      <c r="J28" s="944"/>
      <c r="K28" s="944"/>
      <c r="L28" s="944"/>
      <c r="M28" s="944"/>
      <c r="N28" s="944"/>
      <c r="O28" s="944"/>
      <c r="P28" s="944"/>
      <c r="Q28" s="944"/>
      <c r="R28" s="944"/>
    </row>
    <row r="29" spans="1:18" ht="11.25" customHeight="1">
      <c r="A29" s="838"/>
      <c r="B29" s="840"/>
      <c r="C29" s="839"/>
      <c r="D29" s="839"/>
      <c r="E29" s="839"/>
      <c r="F29" s="501"/>
    </row>
    <row r="30" spans="1:18" ht="11.25" customHeight="1">
      <c r="A30" s="838"/>
      <c r="B30" s="840"/>
      <c r="C30" s="839"/>
      <c r="D30" s="839"/>
      <c r="E30" s="839"/>
      <c r="F30" s="501"/>
    </row>
    <row r="31" spans="1:18" ht="11.25" customHeight="1">
      <c r="A31" s="970" t="s">
        <v>1283</v>
      </c>
      <c r="B31" s="840"/>
      <c r="C31" s="839"/>
      <c r="D31" s="839"/>
      <c r="E31" s="839"/>
      <c r="F31" s="501"/>
    </row>
    <row r="32" spans="1:18" s="1082" customFormat="1" ht="11.25" customHeight="1">
      <c r="A32" s="970"/>
      <c r="B32" s="836"/>
      <c r="C32" s="837"/>
      <c r="D32" s="837"/>
      <c r="E32" s="837"/>
      <c r="F32" s="548"/>
      <c r="G32" s="944"/>
      <c r="H32" s="944"/>
      <c r="I32" s="944"/>
      <c r="J32" s="944"/>
      <c r="K32" s="944"/>
      <c r="L32" s="944"/>
      <c r="M32" s="944"/>
      <c r="N32" s="944"/>
      <c r="O32" s="944"/>
      <c r="P32" s="944"/>
      <c r="Q32" s="944"/>
      <c r="R32" s="944"/>
    </row>
    <row r="33" spans="1:18" s="1082" customFormat="1" ht="11.25" customHeight="1">
      <c r="A33" s="505" t="s">
        <v>23</v>
      </c>
      <c r="B33" s="629"/>
      <c r="C33" s="433"/>
      <c r="D33" s="1091"/>
      <c r="E33" s="1098"/>
      <c r="F33" s="501"/>
      <c r="G33" s="944"/>
      <c r="H33" s="944"/>
      <c r="I33" s="944"/>
      <c r="J33" s="944"/>
      <c r="K33" s="944"/>
      <c r="L33" s="944"/>
      <c r="M33" s="944"/>
      <c r="N33" s="944"/>
      <c r="O33" s="944"/>
      <c r="P33" s="944"/>
      <c r="Q33" s="944"/>
      <c r="R33" s="944"/>
    </row>
    <row r="34" spans="1:18" s="1082" customFormat="1" ht="11.25" customHeight="1">
      <c r="A34" s="435" t="s">
        <v>618</v>
      </c>
      <c r="B34" s="621">
        <v>336</v>
      </c>
      <c r="C34" s="424">
        <v>336</v>
      </c>
      <c r="D34" s="502"/>
      <c r="E34" s="502"/>
      <c r="F34" s="745">
        <v>24</v>
      </c>
      <c r="G34" s="944"/>
      <c r="H34" s="944"/>
      <c r="I34" s="944"/>
      <c r="J34" s="944"/>
      <c r="K34" s="944"/>
      <c r="L34" s="944"/>
      <c r="M34" s="944"/>
      <c r="N34" s="944"/>
      <c r="O34" s="944"/>
      <c r="P34" s="944"/>
      <c r="Q34" s="944"/>
      <c r="R34" s="944"/>
    </row>
    <row r="35" spans="1:18" s="1082" customFormat="1" ht="11.25" customHeight="1">
      <c r="A35" s="435" t="s">
        <v>612</v>
      </c>
      <c r="B35" s="630">
        <v>61</v>
      </c>
      <c r="C35" s="502">
        <v>61</v>
      </c>
      <c r="D35" s="502"/>
      <c r="E35" s="502"/>
      <c r="F35" s="745">
        <v>24</v>
      </c>
      <c r="G35" s="944"/>
      <c r="H35" s="944"/>
      <c r="I35" s="944"/>
      <c r="J35" s="944"/>
      <c r="K35" s="944"/>
      <c r="L35" s="944"/>
      <c r="M35" s="944"/>
      <c r="N35" s="944"/>
      <c r="O35" s="944"/>
      <c r="P35" s="944"/>
      <c r="Q35" s="944"/>
      <c r="R35" s="944"/>
    </row>
    <row r="36" spans="1:18" s="1082" customFormat="1" ht="11.25" customHeight="1">
      <c r="A36" s="835" t="s">
        <v>375</v>
      </c>
      <c r="B36" s="621">
        <v>-155</v>
      </c>
      <c r="C36" s="442">
        <v>-132</v>
      </c>
      <c r="D36" s="502"/>
      <c r="E36" s="502"/>
      <c r="F36" s="745">
        <v>24</v>
      </c>
      <c r="G36" s="944"/>
      <c r="H36" s="944"/>
      <c r="I36" s="944"/>
      <c r="J36" s="944"/>
      <c r="K36" s="944"/>
      <c r="L36" s="944"/>
      <c r="M36" s="944"/>
      <c r="N36" s="944"/>
      <c r="O36" s="944"/>
      <c r="P36" s="944"/>
      <c r="Q36" s="944"/>
      <c r="R36" s="944"/>
    </row>
    <row r="37" spans="1:18" s="1082" customFormat="1" ht="11.25" customHeight="1">
      <c r="A37" s="468" t="s">
        <v>335</v>
      </c>
      <c r="B37" s="621">
        <v>-31</v>
      </c>
      <c r="C37" s="442">
        <v>-10</v>
      </c>
      <c r="D37" s="502"/>
      <c r="E37" s="502"/>
      <c r="F37" s="745">
        <v>24</v>
      </c>
      <c r="G37" s="944"/>
      <c r="H37" s="944"/>
      <c r="I37" s="944"/>
      <c r="J37" s="944"/>
      <c r="K37" s="944"/>
      <c r="L37" s="944"/>
      <c r="M37" s="944"/>
      <c r="N37" s="944"/>
      <c r="O37" s="944"/>
      <c r="P37" s="944"/>
      <c r="Q37" s="944"/>
      <c r="R37" s="944"/>
    </row>
    <row r="38" spans="1:18" s="1082" customFormat="1" ht="11.25" customHeight="1">
      <c r="A38" s="435" t="s">
        <v>1140</v>
      </c>
      <c r="B38" s="624">
        <v>-39</v>
      </c>
      <c r="C38" s="442">
        <v>-38</v>
      </c>
      <c r="D38" s="502"/>
      <c r="E38" s="502"/>
      <c r="F38" s="745">
        <v>23</v>
      </c>
      <c r="G38" s="944"/>
      <c r="H38" s="944"/>
      <c r="I38" s="944"/>
      <c r="J38" s="944"/>
      <c r="K38" s="944"/>
      <c r="L38" s="944"/>
      <c r="M38" s="944"/>
      <c r="N38" s="944"/>
      <c r="O38" s="944"/>
      <c r="P38" s="944"/>
      <c r="Q38" s="944"/>
      <c r="R38" s="944"/>
    </row>
    <row r="39" spans="1:18" s="1082" customFormat="1" ht="11.25" customHeight="1">
      <c r="A39" s="478" t="s">
        <v>336</v>
      </c>
      <c r="B39" s="631">
        <v>2245</v>
      </c>
      <c r="C39" s="443">
        <v>2135</v>
      </c>
      <c r="D39" s="480"/>
      <c r="E39" s="480"/>
      <c r="F39" s="1105"/>
      <c r="G39" s="944"/>
      <c r="H39" s="944"/>
      <c r="I39" s="944"/>
      <c r="J39" s="944"/>
      <c r="K39" s="944"/>
      <c r="L39" s="944"/>
      <c r="M39" s="944"/>
      <c r="N39" s="944"/>
      <c r="O39" s="944"/>
      <c r="P39" s="944"/>
      <c r="Q39" s="944"/>
      <c r="R39" s="944"/>
    </row>
    <row r="40" spans="1:18" s="1082" customFormat="1" ht="11.25" customHeight="1">
      <c r="A40" s="984" t="s">
        <v>776</v>
      </c>
      <c r="B40" s="630">
        <v>2418</v>
      </c>
      <c r="C40" s="502">
        <v>2352</v>
      </c>
      <c r="D40" s="502"/>
      <c r="E40" s="502"/>
      <c r="F40" s="501"/>
      <c r="G40" s="944"/>
      <c r="H40" s="944"/>
      <c r="I40" s="944"/>
      <c r="J40" s="944"/>
      <c r="K40" s="944"/>
      <c r="L40" s="944"/>
      <c r="M40" s="944"/>
      <c r="N40" s="944"/>
      <c r="O40" s="944"/>
      <c r="P40" s="944"/>
      <c r="Q40" s="944"/>
      <c r="R40" s="944"/>
    </row>
    <row r="41" spans="1:18" s="1082" customFormat="1" ht="11.25" customHeight="1">
      <c r="A41" s="977"/>
      <c r="B41" s="629"/>
      <c r="C41" s="977"/>
      <c r="D41" s="1090"/>
      <c r="E41" s="1090"/>
      <c r="F41" s="501"/>
      <c r="G41" s="944"/>
      <c r="H41" s="944"/>
      <c r="I41" s="944"/>
      <c r="J41" s="944"/>
      <c r="K41" s="944"/>
      <c r="L41" s="944"/>
      <c r="M41" s="944"/>
      <c r="N41" s="944"/>
      <c r="O41" s="944"/>
      <c r="P41" s="944"/>
      <c r="Q41" s="944"/>
      <c r="R41" s="944"/>
    </row>
    <row r="42" spans="1:18" s="1082" customFormat="1" ht="11.25" customHeight="1">
      <c r="A42" s="940" t="s">
        <v>828</v>
      </c>
      <c r="B42" s="625">
        <v>14</v>
      </c>
      <c r="C42" s="480">
        <v>24</v>
      </c>
      <c r="D42" s="480"/>
      <c r="E42" s="480"/>
      <c r="F42" s="1105"/>
      <c r="G42" s="944"/>
      <c r="H42" s="944"/>
      <c r="I42" s="944"/>
      <c r="J42" s="944"/>
      <c r="K42" s="944"/>
      <c r="L42" s="944"/>
      <c r="M42" s="944"/>
      <c r="N42" s="944"/>
      <c r="O42" s="944"/>
      <c r="P42" s="944"/>
      <c r="Q42" s="944"/>
      <c r="R42" s="944"/>
    </row>
    <row r="43" spans="1:18" s="1082" customFormat="1" ht="11.25" customHeight="1">
      <c r="A43" s="939" t="s">
        <v>574</v>
      </c>
      <c r="B43" s="626">
        <v>2432</v>
      </c>
      <c r="C43" s="526">
        <v>2376</v>
      </c>
      <c r="D43" s="526"/>
      <c r="E43" s="526"/>
      <c r="F43" s="528"/>
      <c r="G43" s="944"/>
      <c r="H43" s="944"/>
      <c r="I43" s="944"/>
      <c r="J43" s="944"/>
      <c r="K43" s="944"/>
      <c r="L43" s="944"/>
      <c r="M43" s="944"/>
      <c r="N43" s="944"/>
      <c r="O43" s="944"/>
      <c r="P43" s="944"/>
      <c r="Q43" s="944"/>
      <c r="R43" s="944"/>
    </row>
    <row r="44" spans="1:18" s="1082" customFormat="1" ht="11.25" customHeight="1">
      <c r="A44" s="504"/>
      <c r="B44" s="633"/>
      <c r="C44" s="425"/>
      <c r="D44" s="1090"/>
      <c r="E44" s="1090"/>
      <c r="F44" s="501"/>
      <c r="G44" s="944"/>
      <c r="H44" s="944"/>
      <c r="I44" s="944"/>
      <c r="J44" s="944"/>
      <c r="K44" s="944"/>
      <c r="L44" s="944"/>
      <c r="M44" s="944"/>
      <c r="N44" s="944"/>
      <c r="O44" s="944"/>
      <c r="P44" s="944"/>
      <c r="Q44" s="944"/>
      <c r="R44" s="944"/>
    </row>
    <row r="45" spans="1:18" s="1082" customFormat="1" ht="11.25" customHeight="1">
      <c r="A45" s="982" t="s">
        <v>352</v>
      </c>
      <c r="B45" s="629"/>
      <c r="C45" s="977"/>
      <c r="D45" s="1098"/>
      <c r="E45" s="1098"/>
      <c r="F45" s="501"/>
      <c r="G45" s="944"/>
      <c r="H45" s="944"/>
      <c r="I45" s="944"/>
      <c r="J45" s="944"/>
      <c r="K45" s="944"/>
      <c r="L45" s="944"/>
      <c r="M45" s="944"/>
      <c r="N45" s="944"/>
      <c r="O45" s="944"/>
      <c r="P45" s="944"/>
      <c r="Q45" s="944"/>
      <c r="R45" s="944"/>
    </row>
    <row r="46" spans="1:18" s="1082" customFormat="1" ht="11.25" customHeight="1">
      <c r="A46" s="982" t="s">
        <v>26</v>
      </c>
      <c r="B46" s="629"/>
      <c r="C46" s="977"/>
      <c r="D46" s="736"/>
      <c r="E46" s="736"/>
      <c r="F46" s="501"/>
      <c r="G46" s="944"/>
      <c r="H46" s="944"/>
      <c r="I46" s="944"/>
      <c r="J46" s="944"/>
      <c r="K46" s="944"/>
      <c r="L46" s="944"/>
      <c r="M46" s="944"/>
      <c r="N46" s="944"/>
      <c r="O46" s="944"/>
      <c r="P46" s="944"/>
      <c r="Q46" s="944"/>
      <c r="R46" s="944"/>
    </row>
    <row r="47" spans="1:18" s="1082" customFormat="1" ht="11.25" customHeight="1">
      <c r="A47" s="983" t="s">
        <v>781</v>
      </c>
      <c r="B47" s="630">
        <v>748</v>
      </c>
      <c r="C47" s="502">
        <v>517</v>
      </c>
      <c r="D47" s="745">
        <v>16</v>
      </c>
      <c r="E47" s="745">
        <v>21</v>
      </c>
      <c r="F47" s="745">
        <v>26</v>
      </c>
      <c r="G47" s="944"/>
      <c r="H47" s="944"/>
      <c r="I47" s="944"/>
      <c r="J47" s="944"/>
      <c r="K47" s="944"/>
      <c r="L47" s="944"/>
      <c r="M47" s="944"/>
      <c r="N47" s="944"/>
      <c r="O47" s="944"/>
      <c r="P47" s="944"/>
      <c r="Q47" s="944"/>
      <c r="R47" s="944"/>
    </row>
    <row r="48" spans="1:18" s="1082" customFormat="1" ht="11.25" customHeight="1">
      <c r="A48" s="983" t="s">
        <v>778</v>
      </c>
      <c r="B48" s="630">
        <v>99</v>
      </c>
      <c r="C48" s="502">
        <v>102</v>
      </c>
      <c r="D48" s="735"/>
      <c r="E48" s="735"/>
      <c r="F48" s="745">
        <v>22</v>
      </c>
      <c r="G48" s="944"/>
      <c r="H48" s="944"/>
      <c r="I48" s="944"/>
      <c r="J48" s="944"/>
      <c r="K48" s="944"/>
      <c r="L48" s="944"/>
      <c r="M48" s="944"/>
      <c r="N48" s="944"/>
      <c r="O48" s="944"/>
      <c r="P48" s="944"/>
      <c r="Q48" s="944"/>
      <c r="R48" s="944"/>
    </row>
    <row r="49" spans="1:18" s="1082" customFormat="1" ht="11.25" customHeight="1">
      <c r="A49" s="983" t="s">
        <v>337</v>
      </c>
      <c r="B49" s="630">
        <v>149</v>
      </c>
      <c r="C49" s="502">
        <v>154</v>
      </c>
      <c r="D49" s="735"/>
      <c r="E49" s="735"/>
      <c r="F49" s="745">
        <v>23</v>
      </c>
      <c r="G49" s="944"/>
      <c r="H49" s="944"/>
      <c r="I49" s="944"/>
      <c r="J49" s="944"/>
      <c r="K49" s="944"/>
      <c r="L49" s="944"/>
      <c r="M49" s="944"/>
      <c r="N49" s="944"/>
      <c r="O49" s="944"/>
      <c r="P49" s="944"/>
      <c r="Q49" s="944"/>
      <c r="R49" s="944"/>
    </row>
    <row r="50" spans="1:18" s="1082" customFormat="1" ht="11.25" customHeight="1">
      <c r="A50" s="983" t="s">
        <v>415</v>
      </c>
      <c r="B50" s="630">
        <v>54</v>
      </c>
      <c r="C50" s="502">
        <v>52</v>
      </c>
      <c r="D50" s="735"/>
      <c r="E50" s="735"/>
      <c r="F50" s="745">
        <v>25</v>
      </c>
      <c r="G50" s="944"/>
      <c r="H50" s="944"/>
      <c r="I50" s="944"/>
      <c r="J50" s="944"/>
      <c r="K50" s="944"/>
      <c r="L50" s="944"/>
      <c r="M50" s="944"/>
      <c r="N50" s="944"/>
      <c r="O50" s="944"/>
      <c r="P50" s="944"/>
      <c r="Q50" s="944"/>
      <c r="R50" s="944"/>
    </row>
    <row r="51" spans="1:18" s="1082" customFormat="1" ht="11.25" customHeight="1">
      <c r="A51" s="983" t="s">
        <v>1406</v>
      </c>
      <c r="B51" s="630">
        <v>41</v>
      </c>
      <c r="C51" s="502">
        <v>64</v>
      </c>
      <c r="D51" s="735"/>
      <c r="E51" s="735"/>
      <c r="F51" s="745">
        <v>18</v>
      </c>
      <c r="G51" s="944"/>
      <c r="H51" s="944"/>
      <c r="I51" s="944"/>
      <c r="J51" s="944"/>
      <c r="K51" s="944"/>
      <c r="L51" s="944"/>
      <c r="M51" s="944"/>
      <c r="N51" s="944"/>
      <c r="O51" s="944"/>
      <c r="P51" s="944"/>
      <c r="Q51" s="944"/>
      <c r="R51" s="944"/>
    </row>
    <row r="52" spans="1:18" s="1082" customFormat="1" ht="11.25" customHeight="1">
      <c r="A52" s="508" t="s">
        <v>135</v>
      </c>
      <c r="B52" s="623">
        <v>1</v>
      </c>
      <c r="C52" s="443">
        <v>1</v>
      </c>
      <c r="D52" s="1102"/>
      <c r="E52" s="1102"/>
      <c r="F52" s="1101">
        <v>27</v>
      </c>
      <c r="G52" s="944"/>
      <c r="H52" s="944"/>
      <c r="I52" s="944"/>
      <c r="J52" s="944"/>
      <c r="K52" s="944"/>
      <c r="L52" s="944"/>
      <c r="M52" s="944"/>
      <c r="N52" s="944"/>
      <c r="O52" s="944"/>
      <c r="P52" s="944"/>
      <c r="Q52" s="944"/>
      <c r="R52" s="944"/>
    </row>
    <row r="53" spans="1:18" s="1082" customFormat="1" ht="11.25" customHeight="1">
      <c r="A53" s="503" t="s">
        <v>1049</v>
      </c>
      <c r="B53" s="632">
        <v>1092</v>
      </c>
      <c r="C53" s="471">
        <v>889</v>
      </c>
      <c r="D53" s="737"/>
      <c r="E53" s="737"/>
      <c r="F53" s="501"/>
      <c r="G53" s="944"/>
      <c r="H53" s="944"/>
      <c r="I53" s="944"/>
      <c r="J53" s="944"/>
      <c r="K53" s="944"/>
      <c r="L53" s="944"/>
      <c r="M53" s="944"/>
      <c r="N53" s="944"/>
      <c r="O53" s="944"/>
      <c r="P53" s="944"/>
      <c r="Q53" s="944"/>
      <c r="R53" s="944"/>
    </row>
    <row r="54" spans="1:18" s="1082" customFormat="1" ht="11.25" customHeight="1">
      <c r="A54" s="455"/>
      <c r="B54" s="622"/>
      <c r="C54" s="422"/>
      <c r="D54" s="735"/>
      <c r="E54" s="735"/>
      <c r="F54" s="501"/>
      <c r="G54" s="944"/>
      <c r="H54" s="944"/>
      <c r="I54" s="944"/>
      <c r="J54" s="944"/>
      <c r="K54" s="944"/>
      <c r="L54" s="944"/>
      <c r="M54" s="944"/>
      <c r="N54" s="944"/>
      <c r="O54" s="944"/>
      <c r="P54" s="944"/>
      <c r="Q54" s="944"/>
      <c r="R54" s="944"/>
    </row>
    <row r="55" spans="1:18" s="1082" customFormat="1" ht="11.25" customHeight="1">
      <c r="A55" s="505" t="s">
        <v>160</v>
      </c>
      <c r="B55" s="634"/>
      <c r="C55" s="433"/>
      <c r="D55" s="736"/>
      <c r="E55" s="736"/>
      <c r="F55" s="501"/>
      <c r="G55" s="944"/>
      <c r="H55" s="944"/>
      <c r="I55" s="944"/>
      <c r="J55" s="944"/>
      <c r="K55" s="944"/>
      <c r="L55" s="944"/>
      <c r="M55" s="944"/>
      <c r="N55" s="944"/>
      <c r="O55" s="944"/>
      <c r="P55" s="944"/>
      <c r="Q55" s="944"/>
      <c r="R55" s="944"/>
    </row>
    <row r="56" spans="1:18" s="1082" customFormat="1" ht="11.25" customHeight="1">
      <c r="A56" s="468" t="s">
        <v>781</v>
      </c>
      <c r="B56" s="621">
        <v>74</v>
      </c>
      <c r="C56" s="424">
        <v>102</v>
      </c>
      <c r="D56" s="745">
        <v>16</v>
      </c>
      <c r="E56" s="745">
        <v>21</v>
      </c>
      <c r="F56" s="745">
        <v>26</v>
      </c>
      <c r="G56" s="944"/>
      <c r="H56" s="944"/>
      <c r="I56" s="944"/>
      <c r="J56" s="944"/>
      <c r="K56" s="944"/>
      <c r="L56" s="944"/>
      <c r="M56" s="944"/>
      <c r="N56" s="944"/>
      <c r="O56" s="944"/>
      <c r="P56" s="944"/>
      <c r="Q56" s="944"/>
      <c r="R56" s="944"/>
    </row>
    <row r="57" spans="1:18" s="1082" customFormat="1" ht="11.25" customHeight="1">
      <c r="A57" s="435" t="s">
        <v>415</v>
      </c>
      <c r="B57" s="624">
        <v>251</v>
      </c>
      <c r="C57" s="424">
        <v>209</v>
      </c>
      <c r="D57" s="735"/>
      <c r="E57" s="735"/>
      <c r="F57" s="745">
        <v>25</v>
      </c>
      <c r="G57" s="944"/>
      <c r="H57" s="944"/>
      <c r="I57" s="944"/>
      <c r="J57" s="944"/>
      <c r="K57" s="944"/>
      <c r="L57" s="944"/>
      <c r="M57" s="944"/>
      <c r="N57" s="944"/>
      <c r="O57" s="944"/>
      <c r="P57" s="944"/>
      <c r="Q57" s="944"/>
      <c r="R57" s="944"/>
    </row>
    <row r="58" spans="1:18" s="1082" customFormat="1" ht="11.25" customHeight="1">
      <c r="A58" s="983" t="s">
        <v>644</v>
      </c>
      <c r="B58" s="630">
        <v>596</v>
      </c>
      <c r="C58" s="502">
        <v>539</v>
      </c>
      <c r="D58" s="745"/>
      <c r="E58" s="745">
        <v>16</v>
      </c>
      <c r="F58" s="745">
        <v>26</v>
      </c>
      <c r="G58" s="944"/>
      <c r="H58" s="944"/>
      <c r="I58" s="944"/>
      <c r="J58" s="944"/>
      <c r="K58" s="944"/>
      <c r="L58" s="944"/>
      <c r="M58" s="944"/>
      <c r="N58" s="944"/>
      <c r="O58" s="944"/>
      <c r="P58" s="944"/>
      <c r="Q58" s="944"/>
      <c r="R58" s="944"/>
    </row>
    <row r="59" spans="1:18" s="1082" customFormat="1" ht="11.25" customHeight="1">
      <c r="A59" s="983" t="s">
        <v>458</v>
      </c>
      <c r="B59" s="630">
        <v>81</v>
      </c>
      <c r="C59" s="502">
        <v>83</v>
      </c>
      <c r="D59" s="502"/>
      <c r="E59" s="502"/>
      <c r="F59" s="501"/>
      <c r="G59" s="944"/>
      <c r="H59" s="944"/>
      <c r="I59" s="944"/>
      <c r="J59" s="944"/>
      <c r="K59" s="944"/>
      <c r="L59" s="944"/>
      <c r="M59" s="944"/>
      <c r="N59" s="944"/>
      <c r="O59" s="944"/>
      <c r="P59" s="944"/>
      <c r="Q59" s="944"/>
      <c r="R59" s="944"/>
    </row>
    <row r="60" spans="1:18" s="1082" customFormat="1" ht="11.25" customHeight="1">
      <c r="A60" s="983" t="s">
        <v>1406</v>
      </c>
      <c r="B60" s="630">
        <v>888</v>
      </c>
      <c r="C60" s="502">
        <v>724</v>
      </c>
      <c r="D60" s="502"/>
      <c r="E60" s="502"/>
      <c r="F60" s="745">
        <v>18</v>
      </c>
      <c r="G60" s="996"/>
      <c r="H60" s="996"/>
      <c r="I60" s="996"/>
      <c r="J60" s="996"/>
      <c r="K60" s="996"/>
      <c r="L60" s="996"/>
      <c r="M60" s="996"/>
      <c r="N60" s="996"/>
      <c r="O60" s="996"/>
      <c r="P60" s="996"/>
      <c r="Q60" s="996"/>
      <c r="R60" s="996"/>
    </row>
    <row r="61" spans="1:18" s="1082" customFormat="1" ht="11.25" customHeight="1">
      <c r="A61" s="478" t="s">
        <v>135</v>
      </c>
      <c r="B61" s="625">
        <v>645</v>
      </c>
      <c r="C61" s="443">
        <v>726</v>
      </c>
      <c r="D61" s="480"/>
      <c r="E61" s="480"/>
      <c r="F61" s="1101">
        <v>27</v>
      </c>
      <c r="G61" s="944"/>
      <c r="H61" s="944"/>
      <c r="I61" s="944"/>
      <c r="J61" s="944"/>
      <c r="K61" s="944"/>
      <c r="L61" s="944"/>
      <c r="M61" s="944"/>
      <c r="N61" s="944"/>
      <c r="O61" s="944"/>
      <c r="P61" s="944"/>
      <c r="Q61" s="944"/>
      <c r="R61" s="944"/>
    </row>
    <row r="62" spans="1:18" s="1082" customFormat="1" ht="11.25" customHeight="1">
      <c r="A62" s="507" t="s">
        <v>1050</v>
      </c>
      <c r="B62" s="632">
        <v>2535</v>
      </c>
      <c r="C62" s="471">
        <v>2383</v>
      </c>
      <c r="D62" s="427"/>
      <c r="E62" s="427"/>
      <c r="F62" s="500"/>
      <c r="G62" s="944"/>
      <c r="H62" s="944"/>
      <c r="I62" s="944"/>
      <c r="J62" s="944"/>
      <c r="K62" s="944"/>
      <c r="L62" s="944"/>
      <c r="M62" s="944"/>
      <c r="N62" s="944"/>
      <c r="O62" s="944"/>
      <c r="P62" s="944"/>
      <c r="Q62" s="944"/>
      <c r="R62" s="944"/>
    </row>
    <row r="63" spans="1:18" s="1082" customFormat="1" ht="11.25" customHeight="1">
      <c r="A63" s="550"/>
      <c r="B63" s="957"/>
      <c r="C63" s="550"/>
      <c r="D63" s="1092"/>
      <c r="E63" s="550"/>
      <c r="F63" s="583"/>
      <c r="G63" s="944"/>
      <c r="H63" s="944"/>
      <c r="I63" s="944"/>
      <c r="J63" s="944"/>
      <c r="K63" s="944"/>
      <c r="L63" s="944"/>
      <c r="M63" s="944"/>
      <c r="N63" s="944"/>
      <c r="O63" s="944"/>
      <c r="P63" s="944"/>
      <c r="Q63" s="944"/>
      <c r="R63" s="944"/>
    </row>
    <row r="64" spans="1:18" s="1082" customFormat="1" ht="11.25" customHeight="1">
      <c r="A64" s="939" t="s">
        <v>733</v>
      </c>
      <c r="B64" s="626">
        <v>3627</v>
      </c>
      <c r="C64" s="526">
        <v>3272</v>
      </c>
      <c r="D64" s="526"/>
      <c r="E64" s="526"/>
      <c r="F64" s="529"/>
      <c r="G64" s="944"/>
      <c r="H64" s="944"/>
      <c r="I64" s="944"/>
      <c r="J64" s="944"/>
      <c r="K64" s="944"/>
      <c r="L64" s="944"/>
      <c r="M64" s="944"/>
      <c r="N64" s="944"/>
      <c r="O64" s="944"/>
      <c r="P64" s="944"/>
      <c r="Q64" s="944"/>
      <c r="R64" s="944"/>
    </row>
    <row r="65" spans="1:18" s="1082" customFormat="1" ht="11.25" customHeight="1">
      <c r="A65" s="590"/>
      <c r="B65" s="957"/>
      <c r="C65" s="550"/>
      <c r="D65" s="1092"/>
      <c r="E65" s="550"/>
      <c r="F65" s="583"/>
      <c r="G65" s="944"/>
      <c r="H65" s="944"/>
      <c r="I65" s="944"/>
      <c r="J65" s="944"/>
      <c r="K65" s="944"/>
      <c r="L65" s="944"/>
      <c r="M65" s="944"/>
      <c r="N65" s="944"/>
      <c r="O65" s="944"/>
      <c r="P65" s="944"/>
      <c r="Q65" s="944"/>
      <c r="R65" s="944"/>
    </row>
    <row r="66" spans="1:18" s="1082" customFormat="1" ht="11.25" customHeight="1">
      <c r="A66" s="939" t="s">
        <v>403</v>
      </c>
      <c r="B66" s="626">
        <v>6059</v>
      </c>
      <c r="C66" s="526">
        <v>5648</v>
      </c>
      <c r="D66" s="526"/>
      <c r="E66" s="526"/>
      <c r="F66" s="529"/>
      <c r="G66" s="944"/>
      <c r="H66" s="944"/>
      <c r="I66" s="944"/>
      <c r="J66" s="944"/>
      <c r="K66" s="944"/>
      <c r="L66" s="944"/>
      <c r="M66" s="944"/>
      <c r="N66" s="944"/>
      <c r="O66" s="944"/>
      <c r="P66" s="944"/>
      <c r="Q66" s="944"/>
      <c r="R66" s="944"/>
    </row>
    <row r="67" spans="1:18" ht="11.25" customHeight="1">
      <c r="A67" s="211"/>
      <c r="B67" s="211"/>
      <c r="C67" s="211"/>
      <c r="D67" s="211"/>
      <c r="E67" s="211"/>
    </row>
    <row r="68" spans="1:18" ht="11.25" customHeight="1">
      <c r="A68" s="1174" t="s">
        <v>1641</v>
      </c>
      <c r="B68" s="1174"/>
      <c r="C68" s="1174"/>
      <c r="D68" s="1174"/>
      <c r="E68" s="1174"/>
      <c r="F68" s="1174"/>
    </row>
    <row r="69" spans="1:18" ht="11.25" customHeight="1">
      <c r="B69" s="275"/>
      <c r="C69" s="275"/>
      <c r="D69" s="275"/>
      <c r="E69" s="275"/>
    </row>
    <row r="70" spans="1:18" ht="11.25" customHeight="1">
      <c r="A70" s="1174"/>
      <c r="B70" s="1174"/>
      <c r="C70" s="1174"/>
      <c r="D70" s="1174"/>
      <c r="E70" s="1174"/>
      <c r="F70" s="1174"/>
    </row>
    <row r="71" spans="1:18" ht="11.25" customHeight="1">
      <c r="B71" s="275"/>
      <c r="C71" s="275"/>
      <c r="D71" s="275"/>
      <c r="E71" s="275"/>
    </row>
    <row r="72" spans="1:18">
      <c r="B72" s="275"/>
      <c r="C72" s="275"/>
      <c r="D72" s="275"/>
      <c r="E72" s="275"/>
    </row>
    <row r="73" spans="1:18">
      <c r="B73" s="218"/>
      <c r="C73" s="218"/>
      <c r="D73" s="218"/>
      <c r="E73" s="218"/>
    </row>
    <row r="74" spans="1:18">
      <c r="B74" s="218"/>
      <c r="C74" s="218"/>
      <c r="D74" s="218"/>
      <c r="E74" s="218"/>
    </row>
    <row r="75" spans="1:18">
      <c r="B75" s="218"/>
      <c r="C75" s="218"/>
      <c r="D75" s="218"/>
      <c r="E75" s="218"/>
    </row>
    <row r="76" spans="1:18">
      <c r="B76" s="218"/>
      <c r="C76" s="218"/>
      <c r="D76" s="218"/>
      <c r="E76" s="218"/>
    </row>
    <row r="77" spans="1:18">
      <c r="B77" s="218"/>
      <c r="C77" s="218"/>
      <c r="D77" s="218"/>
      <c r="E77" s="218"/>
    </row>
    <row r="78" spans="1:18">
      <c r="B78" s="218"/>
      <c r="C78" s="218"/>
      <c r="D78" s="218"/>
      <c r="E78" s="218"/>
    </row>
    <row r="79" spans="1:18">
      <c r="B79" s="218"/>
      <c r="C79" s="218"/>
      <c r="D79" s="218"/>
      <c r="E79" s="218"/>
    </row>
    <row r="80" spans="1:18">
      <c r="B80" s="218"/>
      <c r="C80" s="218"/>
      <c r="D80" s="218"/>
      <c r="E80" s="218"/>
    </row>
    <row r="81" spans="2:5">
      <c r="B81" s="218"/>
      <c r="C81" s="218"/>
      <c r="D81" s="218"/>
      <c r="E81" s="218"/>
    </row>
    <row r="82" spans="2:5">
      <c r="B82" s="218"/>
      <c r="C82" s="218"/>
      <c r="D82" s="218"/>
      <c r="E82" s="218"/>
    </row>
    <row r="83" spans="2:5" ht="15" customHeight="1">
      <c r="B83" s="218"/>
      <c r="C83" s="218"/>
      <c r="D83" s="218"/>
      <c r="E83" s="218"/>
    </row>
    <row r="84" spans="2:5">
      <c r="B84" s="218"/>
      <c r="C84" s="218"/>
      <c r="D84" s="218"/>
      <c r="E84" s="218"/>
    </row>
    <row r="85" spans="2:5">
      <c r="B85" s="218"/>
      <c r="C85" s="218"/>
      <c r="D85" s="218"/>
      <c r="E85" s="218"/>
    </row>
    <row r="86" spans="2:5">
      <c r="B86" s="218"/>
      <c r="C86" s="218"/>
      <c r="D86" s="218"/>
      <c r="E86" s="218"/>
    </row>
    <row r="87" spans="2:5">
      <c r="B87" s="218"/>
      <c r="C87" s="218"/>
      <c r="D87" s="218"/>
      <c r="E87" s="218"/>
    </row>
    <row r="88" spans="2:5">
      <c r="B88" s="218"/>
      <c r="C88" s="218"/>
      <c r="D88" s="218"/>
      <c r="E88" s="218"/>
    </row>
    <row r="89" spans="2:5">
      <c r="B89" s="218"/>
      <c r="C89" s="218"/>
      <c r="D89" s="218"/>
      <c r="E89" s="218"/>
    </row>
    <row r="90" spans="2:5">
      <c r="B90" s="218"/>
      <c r="C90" s="218"/>
      <c r="D90" s="218"/>
      <c r="E90" s="218"/>
    </row>
    <row r="91" spans="2:5">
      <c r="B91" s="218"/>
      <c r="C91" s="218"/>
      <c r="D91" s="218"/>
      <c r="E91" s="218"/>
    </row>
    <row r="92" spans="2:5">
      <c r="B92" s="218"/>
      <c r="C92" s="218"/>
      <c r="D92" s="218"/>
      <c r="E92" s="218"/>
    </row>
    <row r="93" spans="2:5">
      <c r="B93" s="218"/>
      <c r="C93" s="218"/>
      <c r="D93" s="218"/>
      <c r="E93" s="218"/>
    </row>
    <row r="94" spans="2:5">
      <c r="B94" s="218"/>
      <c r="C94" s="218"/>
      <c r="D94" s="218"/>
      <c r="E94" s="218"/>
    </row>
    <row r="95" spans="2:5">
      <c r="B95" s="218"/>
      <c r="C95" s="218"/>
      <c r="D95" s="218"/>
      <c r="E95" s="218"/>
    </row>
    <row r="96" spans="2:5">
      <c r="B96" s="218"/>
      <c r="C96" s="218"/>
      <c r="D96" s="218"/>
      <c r="E96" s="218"/>
    </row>
    <row r="97" spans="2:5">
      <c r="B97" s="218"/>
      <c r="C97" s="218"/>
      <c r="D97" s="218"/>
      <c r="E97" s="218"/>
    </row>
    <row r="98" spans="2:5">
      <c r="B98" s="218"/>
      <c r="C98" s="218"/>
      <c r="D98" s="218"/>
      <c r="E98" s="218"/>
    </row>
    <row r="99" spans="2:5">
      <c r="B99" s="218"/>
      <c r="C99" s="218"/>
      <c r="D99" s="218"/>
      <c r="E99" s="218"/>
    </row>
    <row r="100" spans="2:5">
      <c r="B100" s="218"/>
      <c r="C100" s="218"/>
      <c r="D100" s="218"/>
      <c r="E100" s="218"/>
    </row>
    <row r="101" spans="2:5" ht="15" customHeight="1">
      <c r="B101" s="218"/>
      <c r="C101" s="218"/>
      <c r="D101" s="218"/>
      <c r="E101" s="218"/>
    </row>
    <row r="102" spans="2:5">
      <c r="B102" s="218"/>
      <c r="C102" s="218"/>
      <c r="D102" s="218"/>
      <c r="E102" s="218"/>
    </row>
    <row r="103" spans="2:5">
      <c r="B103" s="218"/>
      <c r="C103" s="218"/>
      <c r="D103" s="218"/>
      <c r="E103" s="218"/>
    </row>
    <row r="104" spans="2:5">
      <c r="B104" s="218"/>
      <c r="C104" s="218"/>
      <c r="D104" s="218"/>
      <c r="E104" s="218"/>
    </row>
    <row r="105" spans="2:5">
      <c r="B105" s="218"/>
      <c r="C105" s="218"/>
      <c r="D105" s="218"/>
      <c r="E105" s="218"/>
    </row>
    <row r="106" spans="2:5">
      <c r="B106" s="218"/>
      <c r="C106" s="218"/>
      <c r="D106" s="218"/>
      <c r="E106" s="218"/>
    </row>
    <row r="107" spans="2:5">
      <c r="B107" s="218"/>
      <c r="C107" s="218"/>
      <c r="D107" s="218"/>
      <c r="E107" s="218"/>
    </row>
    <row r="108" spans="2:5">
      <c r="B108" s="218"/>
      <c r="C108" s="218"/>
      <c r="D108" s="218"/>
      <c r="E108" s="218"/>
    </row>
    <row r="109" spans="2:5">
      <c r="B109" s="218"/>
      <c r="C109" s="218"/>
      <c r="D109" s="218"/>
      <c r="E109" s="218"/>
    </row>
    <row r="110" spans="2:5">
      <c r="B110" s="218"/>
      <c r="C110" s="218"/>
      <c r="D110" s="218"/>
      <c r="E110" s="218"/>
    </row>
    <row r="111" spans="2:5">
      <c r="B111" s="218"/>
      <c r="C111" s="218"/>
      <c r="D111" s="218"/>
      <c r="E111" s="218"/>
    </row>
    <row r="112" spans="2:5">
      <c r="B112" s="218"/>
      <c r="C112" s="218"/>
      <c r="D112" s="218"/>
      <c r="E112" s="218"/>
    </row>
    <row r="113" spans="2:5">
      <c r="B113" s="218"/>
      <c r="C113" s="218"/>
      <c r="D113" s="218"/>
      <c r="E113" s="218"/>
    </row>
    <row r="114" spans="2:5">
      <c r="B114" s="218"/>
      <c r="C114" s="218"/>
      <c r="D114" s="218"/>
      <c r="E114" s="218"/>
    </row>
    <row r="115" spans="2:5">
      <c r="B115" s="218"/>
      <c r="C115" s="218"/>
      <c r="D115" s="218"/>
      <c r="E115" s="218"/>
    </row>
    <row r="116" spans="2:5">
      <c r="B116" s="218"/>
      <c r="C116" s="218"/>
      <c r="D116" s="218"/>
      <c r="E116" s="218"/>
    </row>
    <row r="117" spans="2:5">
      <c r="B117" s="218"/>
      <c r="C117" s="218"/>
      <c r="D117" s="218"/>
      <c r="E117" s="218"/>
    </row>
    <row r="118" spans="2:5">
      <c r="B118" s="218"/>
      <c r="C118" s="218"/>
      <c r="D118" s="218"/>
      <c r="E118" s="218"/>
    </row>
    <row r="119" spans="2:5">
      <c r="B119" s="218"/>
      <c r="C119" s="218"/>
      <c r="D119" s="218"/>
      <c r="E119" s="218"/>
    </row>
    <row r="120" spans="2:5">
      <c r="B120" s="218"/>
      <c r="C120" s="218"/>
      <c r="D120" s="218"/>
      <c r="E120" s="218"/>
    </row>
    <row r="121" spans="2:5">
      <c r="B121" s="218"/>
      <c r="C121" s="218"/>
      <c r="D121" s="218"/>
      <c r="E121" s="218"/>
    </row>
    <row r="122" spans="2:5">
      <c r="B122" s="218"/>
      <c r="C122" s="218"/>
      <c r="D122" s="218"/>
      <c r="E122" s="218"/>
    </row>
    <row r="123" spans="2:5">
      <c r="B123" s="218"/>
      <c r="C123" s="218"/>
      <c r="D123" s="218"/>
      <c r="E123" s="218"/>
    </row>
    <row r="124" spans="2:5">
      <c r="B124" s="218"/>
      <c r="C124" s="218"/>
      <c r="D124" s="218"/>
      <c r="E124" s="218"/>
    </row>
    <row r="125" spans="2:5">
      <c r="B125" s="218"/>
      <c r="C125" s="218"/>
      <c r="D125" s="218"/>
      <c r="E125" s="218"/>
    </row>
    <row r="126" spans="2:5">
      <c r="B126" s="218"/>
      <c r="C126" s="218"/>
      <c r="D126" s="218"/>
      <c r="E126" s="218"/>
    </row>
    <row r="127" spans="2:5">
      <c r="B127" s="218"/>
      <c r="C127" s="218"/>
      <c r="D127" s="218"/>
      <c r="E127" s="218"/>
    </row>
    <row r="128" spans="2:5">
      <c r="B128" s="218"/>
      <c r="C128" s="218"/>
      <c r="D128" s="218"/>
      <c r="E128" s="218"/>
    </row>
    <row r="129" spans="2:5">
      <c r="B129" s="218"/>
      <c r="C129" s="218"/>
      <c r="D129" s="218"/>
      <c r="E129" s="218"/>
    </row>
    <row r="130" spans="2:5">
      <c r="B130" s="218"/>
      <c r="C130" s="218"/>
      <c r="D130" s="218"/>
      <c r="E130" s="218"/>
    </row>
    <row r="131" spans="2:5">
      <c r="B131" s="218"/>
      <c r="C131" s="218"/>
      <c r="D131" s="218"/>
      <c r="E131" s="218"/>
    </row>
    <row r="132" spans="2:5">
      <c r="B132" s="218"/>
      <c r="C132" s="218"/>
      <c r="D132" s="218"/>
      <c r="E132" s="218"/>
    </row>
    <row r="133" spans="2:5">
      <c r="B133" s="218"/>
      <c r="C133" s="218"/>
      <c r="D133" s="218"/>
      <c r="E133" s="218"/>
    </row>
    <row r="134" spans="2:5">
      <c r="B134" s="218"/>
      <c r="C134" s="218"/>
      <c r="D134" s="218"/>
      <c r="E134" s="218"/>
    </row>
    <row r="135" spans="2:5">
      <c r="B135" s="218"/>
      <c r="C135" s="218"/>
      <c r="D135" s="218"/>
      <c r="E135" s="218"/>
    </row>
    <row r="136" spans="2:5">
      <c r="B136" s="218"/>
      <c r="C136" s="218"/>
      <c r="D136" s="218"/>
      <c r="E136" s="218"/>
    </row>
    <row r="137" spans="2:5">
      <c r="B137" s="218"/>
      <c r="C137" s="218"/>
      <c r="D137" s="218"/>
      <c r="E137" s="218"/>
    </row>
    <row r="138" spans="2:5">
      <c r="B138" s="218"/>
      <c r="C138" s="218"/>
      <c r="D138" s="218"/>
      <c r="E138" s="218"/>
    </row>
    <row r="139" spans="2:5">
      <c r="B139" s="218"/>
      <c r="C139" s="218"/>
      <c r="D139" s="218"/>
      <c r="E139" s="218"/>
    </row>
    <row r="140" spans="2:5">
      <c r="B140" s="218"/>
      <c r="C140" s="218"/>
      <c r="D140" s="218"/>
      <c r="E140" s="218"/>
    </row>
    <row r="141" spans="2:5">
      <c r="B141" s="218"/>
      <c r="C141" s="218"/>
      <c r="D141" s="218"/>
      <c r="E141" s="218"/>
    </row>
    <row r="142" spans="2:5">
      <c r="B142" s="218"/>
      <c r="C142" s="218"/>
      <c r="D142" s="218"/>
      <c r="E142" s="218"/>
    </row>
    <row r="143" spans="2:5">
      <c r="B143" s="218"/>
      <c r="C143" s="218"/>
      <c r="D143" s="218"/>
      <c r="E143" s="218"/>
    </row>
    <row r="144" spans="2:5">
      <c r="B144" s="218"/>
      <c r="C144" s="218"/>
      <c r="D144" s="218"/>
      <c r="E144" s="218"/>
    </row>
    <row r="145" spans="2:5">
      <c r="B145" s="218"/>
      <c r="C145" s="218"/>
      <c r="D145" s="218"/>
      <c r="E145" s="218"/>
    </row>
    <row r="146" spans="2:5">
      <c r="B146" s="218"/>
      <c r="C146" s="218"/>
      <c r="D146" s="218"/>
      <c r="E146" s="218"/>
    </row>
    <row r="147" spans="2:5">
      <c r="B147" s="218"/>
      <c r="C147" s="218"/>
      <c r="D147" s="218"/>
      <c r="E147" s="218"/>
    </row>
    <row r="148" spans="2:5">
      <c r="B148" s="218"/>
      <c r="C148" s="218"/>
      <c r="D148" s="218"/>
      <c r="E148" s="218"/>
    </row>
    <row r="149" spans="2:5">
      <c r="B149" s="218"/>
      <c r="C149" s="218"/>
      <c r="D149" s="218"/>
      <c r="E149" s="218"/>
    </row>
    <row r="150" spans="2:5">
      <c r="B150" s="218"/>
      <c r="C150" s="218"/>
      <c r="D150" s="218"/>
      <c r="E150" s="218"/>
    </row>
    <row r="151" spans="2:5">
      <c r="B151" s="218"/>
      <c r="C151" s="218"/>
      <c r="D151" s="218"/>
      <c r="E151" s="218"/>
    </row>
    <row r="152" spans="2:5">
      <c r="B152" s="218"/>
      <c r="C152" s="218"/>
      <c r="D152" s="218"/>
      <c r="E152" s="218"/>
    </row>
    <row r="153" spans="2:5">
      <c r="B153" s="218"/>
      <c r="C153" s="218"/>
      <c r="D153" s="218"/>
      <c r="E153" s="218"/>
    </row>
    <row r="154" spans="2:5">
      <c r="B154" s="218"/>
      <c r="C154" s="218"/>
      <c r="D154" s="218"/>
      <c r="E154" s="218"/>
    </row>
    <row r="155" spans="2:5">
      <c r="B155" s="218"/>
      <c r="C155" s="218"/>
      <c r="D155" s="218"/>
      <c r="E155" s="218"/>
    </row>
    <row r="156" spans="2:5">
      <c r="B156" s="218"/>
      <c r="C156" s="218"/>
      <c r="D156" s="218"/>
      <c r="E156" s="218"/>
    </row>
    <row r="157" spans="2:5">
      <c r="B157" s="218"/>
      <c r="C157" s="218"/>
      <c r="D157" s="218"/>
      <c r="E157" s="218"/>
    </row>
    <row r="158" spans="2:5">
      <c r="B158" s="218"/>
      <c r="C158" s="218"/>
      <c r="D158" s="218"/>
      <c r="E158" s="218"/>
    </row>
    <row r="159" spans="2:5">
      <c r="B159" s="218"/>
      <c r="C159" s="218"/>
      <c r="D159" s="218"/>
      <c r="E159" s="218"/>
    </row>
    <row r="160" spans="2:5">
      <c r="B160" s="218"/>
      <c r="C160" s="218"/>
      <c r="D160" s="218"/>
      <c r="E160" s="218"/>
    </row>
    <row r="161" spans="2:5">
      <c r="B161" s="218"/>
      <c r="C161" s="218"/>
      <c r="D161" s="218"/>
      <c r="E161" s="218"/>
    </row>
    <row r="162" spans="2:5">
      <c r="B162" s="218"/>
      <c r="C162" s="218"/>
      <c r="D162" s="218"/>
      <c r="E162" s="218"/>
    </row>
    <row r="163" spans="2:5">
      <c r="B163" s="218"/>
      <c r="C163" s="218"/>
      <c r="D163" s="218"/>
      <c r="E163" s="218"/>
    </row>
    <row r="164" spans="2:5">
      <c r="B164" s="218"/>
      <c r="C164" s="218"/>
      <c r="D164" s="218"/>
      <c r="E164" s="218"/>
    </row>
    <row r="165" spans="2:5">
      <c r="B165" s="218"/>
      <c r="C165" s="218"/>
      <c r="D165" s="218"/>
      <c r="E165" s="218"/>
    </row>
    <row r="166" spans="2:5">
      <c r="B166" s="218"/>
      <c r="C166" s="218"/>
      <c r="D166" s="218"/>
      <c r="E166" s="218"/>
    </row>
    <row r="167" spans="2:5">
      <c r="B167" s="218"/>
      <c r="C167" s="218"/>
      <c r="D167" s="218"/>
      <c r="E167" s="218"/>
    </row>
    <row r="168" spans="2:5">
      <c r="B168" s="218"/>
      <c r="C168" s="218"/>
      <c r="D168" s="218"/>
      <c r="E168" s="218"/>
    </row>
    <row r="169" spans="2:5">
      <c r="B169" s="218"/>
      <c r="C169" s="218"/>
      <c r="D169" s="218"/>
      <c r="E169" s="218"/>
    </row>
    <row r="170" spans="2:5">
      <c r="B170" s="218"/>
      <c r="C170" s="218"/>
      <c r="D170" s="218"/>
      <c r="E170" s="218"/>
    </row>
    <row r="171" spans="2:5">
      <c r="B171" s="218"/>
      <c r="C171" s="218"/>
      <c r="D171" s="218"/>
      <c r="E171" s="218"/>
    </row>
    <row r="172" spans="2:5">
      <c r="B172" s="218"/>
      <c r="C172" s="218"/>
      <c r="D172" s="218"/>
      <c r="E172" s="218"/>
    </row>
    <row r="173" spans="2:5">
      <c r="B173" s="218"/>
      <c r="C173" s="218"/>
      <c r="D173" s="218"/>
      <c r="E173" s="218"/>
    </row>
    <row r="174" spans="2:5">
      <c r="B174" s="218"/>
      <c r="C174" s="218"/>
      <c r="D174" s="218"/>
      <c r="E174" s="218"/>
    </row>
    <row r="175" spans="2:5">
      <c r="B175" s="218"/>
      <c r="C175" s="218"/>
      <c r="D175" s="218"/>
      <c r="E175" s="218"/>
    </row>
    <row r="176" spans="2:5">
      <c r="B176" s="218"/>
      <c r="C176" s="218"/>
      <c r="D176" s="218"/>
      <c r="E176" s="218"/>
    </row>
    <row r="177" spans="2:5">
      <c r="B177" s="218"/>
      <c r="C177" s="218"/>
      <c r="D177" s="218"/>
      <c r="E177" s="218"/>
    </row>
    <row r="178" spans="2:5">
      <c r="B178" s="218"/>
      <c r="C178" s="218"/>
      <c r="D178" s="218"/>
      <c r="E178" s="218"/>
    </row>
    <row r="179" spans="2:5">
      <c r="B179" s="218"/>
      <c r="C179" s="218"/>
      <c r="D179" s="218"/>
      <c r="E179" s="218"/>
    </row>
    <row r="180" spans="2:5">
      <c r="B180" s="218"/>
      <c r="C180" s="218"/>
      <c r="D180" s="218"/>
      <c r="E180" s="218"/>
    </row>
    <row r="181" spans="2:5">
      <c r="B181" s="218"/>
      <c r="C181" s="218"/>
      <c r="D181" s="218"/>
      <c r="E181" s="218"/>
    </row>
    <row r="182" spans="2:5">
      <c r="B182" s="218"/>
      <c r="C182" s="218"/>
      <c r="D182" s="218"/>
      <c r="E182" s="218"/>
    </row>
    <row r="183" spans="2:5">
      <c r="B183" s="218"/>
      <c r="C183" s="218"/>
      <c r="D183" s="218"/>
      <c r="E183" s="218"/>
    </row>
    <row r="184" spans="2:5">
      <c r="B184" s="218"/>
      <c r="C184" s="218"/>
      <c r="D184" s="218"/>
      <c r="E184" s="218"/>
    </row>
    <row r="185" spans="2:5">
      <c r="B185" s="218"/>
      <c r="C185" s="218"/>
      <c r="D185" s="218"/>
      <c r="E185" s="218"/>
    </row>
    <row r="186" spans="2:5">
      <c r="B186" s="218"/>
      <c r="C186" s="218"/>
      <c r="D186" s="218"/>
      <c r="E186" s="218"/>
    </row>
    <row r="187" spans="2:5">
      <c r="B187" s="218"/>
      <c r="C187" s="218"/>
      <c r="D187" s="218"/>
      <c r="E187" s="218"/>
    </row>
    <row r="188" spans="2:5">
      <c r="B188" s="218"/>
      <c r="C188" s="218"/>
      <c r="D188" s="218"/>
      <c r="E188" s="218"/>
    </row>
    <row r="189" spans="2:5">
      <c r="B189" s="218"/>
      <c r="C189" s="218"/>
      <c r="D189" s="218"/>
      <c r="E189" s="218"/>
    </row>
    <row r="190" spans="2:5">
      <c r="B190" s="218"/>
      <c r="C190" s="218"/>
      <c r="D190" s="218"/>
      <c r="E190" s="218"/>
    </row>
    <row r="191" spans="2:5">
      <c r="B191" s="218"/>
      <c r="C191" s="218"/>
      <c r="D191" s="218"/>
      <c r="E191" s="218"/>
    </row>
    <row r="192" spans="2:5">
      <c r="B192" s="218"/>
      <c r="C192" s="218"/>
      <c r="D192" s="218"/>
      <c r="E192" s="218"/>
    </row>
    <row r="193" spans="2:5">
      <c r="B193" s="218"/>
      <c r="C193" s="218"/>
      <c r="D193" s="218"/>
      <c r="E193" s="218"/>
    </row>
    <row r="194" spans="2:5">
      <c r="B194" s="218"/>
      <c r="C194" s="218"/>
      <c r="D194" s="218"/>
      <c r="E194" s="218"/>
    </row>
    <row r="195" spans="2:5">
      <c r="B195" s="218"/>
      <c r="C195" s="218"/>
      <c r="D195" s="218"/>
      <c r="E195" s="218"/>
    </row>
    <row r="196" spans="2:5">
      <c r="B196" s="218"/>
      <c r="C196" s="218"/>
      <c r="D196" s="218"/>
      <c r="E196" s="218"/>
    </row>
    <row r="197" spans="2:5">
      <c r="B197" s="218"/>
      <c r="C197" s="218"/>
      <c r="D197" s="218"/>
      <c r="E197" s="218"/>
    </row>
    <row r="198" spans="2:5">
      <c r="B198" s="218"/>
      <c r="C198" s="218"/>
      <c r="D198" s="218"/>
      <c r="E198" s="218"/>
    </row>
    <row r="199" spans="2:5">
      <c r="B199" s="218"/>
      <c r="C199" s="218"/>
      <c r="D199" s="218"/>
      <c r="E199" s="218"/>
    </row>
    <row r="200" spans="2:5">
      <c r="B200" s="218"/>
      <c r="C200" s="218"/>
      <c r="D200" s="218"/>
      <c r="E200" s="218"/>
    </row>
    <row r="201" spans="2:5">
      <c r="B201" s="218"/>
      <c r="C201" s="218"/>
      <c r="D201" s="218"/>
      <c r="E201" s="218"/>
    </row>
    <row r="202" spans="2:5">
      <c r="B202" s="218"/>
      <c r="C202" s="218"/>
      <c r="D202" s="218"/>
      <c r="E202" s="218"/>
    </row>
    <row r="203" spans="2:5">
      <c r="B203" s="218"/>
      <c r="C203" s="218"/>
      <c r="D203" s="218"/>
      <c r="E203" s="218"/>
    </row>
    <row r="204" spans="2:5">
      <c r="B204" s="218"/>
      <c r="C204" s="218"/>
      <c r="D204" s="218"/>
      <c r="E204" s="218"/>
    </row>
    <row r="205" spans="2:5">
      <c r="B205" s="218"/>
      <c r="C205" s="218"/>
      <c r="D205" s="218"/>
      <c r="E205" s="218"/>
    </row>
    <row r="206" spans="2:5">
      <c r="B206" s="218"/>
      <c r="C206" s="218"/>
      <c r="D206" s="218"/>
      <c r="E206" s="218"/>
    </row>
    <row r="207" spans="2:5">
      <c r="B207" s="218"/>
      <c r="C207" s="218"/>
      <c r="D207" s="218"/>
      <c r="E207" s="218"/>
    </row>
    <row r="208" spans="2:5">
      <c r="B208" s="218"/>
      <c r="C208" s="218"/>
      <c r="D208" s="218"/>
      <c r="E208" s="218"/>
    </row>
    <row r="209" spans="2:5">
      <c r="B209" s="218"/>
      <c r="C209" s="218"/>
      <c r="D209" s="218"/>
      <c r="E209" s="218"/>
    </row>
    <row r="210" spans="2:5">
      <c r="B210" s="218"/>
      <c r="C210" s="218"/>
      <c r="D210" s="218"/>
      <c r="E210" s="218"/>
    </row>
    <row r="211" spans="2:5">
      <c r="B211" s="218"/>
      <c r="C211" s="218"/>
      <c r="D211" s="218"/>
      <c r="E211" s="218"/>
    </row>
    <row r="212" spans="2:5">
      <c r="B212" s="218"/>
      <c r="C212" s="218"/>
      <c r="D212" s="218"/>
      <c r="E212" s="218"/>
    </row>
    <row r="213" spans="2:5">
      <c r="B213" s="218"/>
      <c r="C213" s="218"/>
      <c r="D213" s="218"/>
      <c r="E213" s="218"/>
    </row>
    <row r="214" spans="2:5">
      <c r="B214" s="218"/>
      <c r="C214" s="218"/>
      <c r="D214" s="218"/>
      <c r="E214" s="218"/>
    </row>
    <row r="215" spans="2:5">
      <c r="B215" s="218"/>
      <c r="C215" s="218"/>
      <c r="D215" s="218"/>
      <c r="E215" s="218"/>
    </row>
    <row r="216" spans="2:5">
      <c r="B216" s="218"/>
      <c r="C216" s="218"/>
      <c r="D216" s="218"/>
      <c r="E216" s="218"/>
    </row>
    <row r="217" spans="2:5">
      <c r="B217" s="218"/>
      <c r="C217" s="218"/>
      <c r="D217" s="218"/>
      <c r="E217" s="218"/>
    </row>
    <row r="218" spans="2:5">
      <c r="B218" s="218"/>
      <c r="C218" s="218"/>
      <c r="D218" s="218"/>
      <c r="E218" s="218"/>
    </row>
    <row r="219" spans="2:5">
      <c r="B219" s="218"/>
      <c r="C219" s="218"/>
      <c r="D219" s="218"/>
      <c r="E219" s="218"/>
    </row>
    <row r="220" spans="2:5">
      <c r="B220" s="218"/>
      <c r="C220" s="218"/>
      <c r="D220" s="218"/>
      <c r="E220" s="218"/>
    </row>
    <row r="221" spans="2:5">
      <c r="B221" s="218"/>
      <c r="C221" s="218"/>
      <c r="D221" s="218"/>
      <c r="E221" s="218"/>
    </row>
    <row r="222" spans="2:5">
      <c r="B222" s="218"/>
      <c r="C222" s="218"/>
      <c r="D222" s="218"/>
      <c r="E222" s="218"/>
    </row>
    <row r="223" spans="2:5">
      <c r="B223" s="218"/>
      <c r="C223" s="218"/>
      <c r="D223" s="218"/>
      <c r="E223" s="218"/>
    </row>
    <row r="224" spans="2:5">
      <c r="B224" s="218"/>
      <c r="C224" s="218"/>
      <c r="D224" s="218"/>
      <c r="E224" s="218"/>
    </row>
  </sheetData>
  <mergeCells count="4">
    <mergeCell ref="A70:F70"/>
    <mergeCell ref="A1:F1"/>
    <mergeCell ref="E4:F4"/>
    <mergeCell ref="A68:F68"/>
  </mergeCells>
  <phoneticPr fontId="39" type="noConversion"/>
  <hyperlinks>
    <hyperlink ref="F8" r:id="rId1" location="13-aineettomat-hyodykkeet" display="http://www.wartsilareports.com/fi-FI/2018/ar/taloudellinen-katsaus/tilinpaatos/konsernitilinpaatos/konsernitilinpaatoksen-liitetiedot/ - 13-aineettomat-hyodykkeet" xr:uid="{68264A7F-870C-4B2A-BF46-51F66E3AC516}"/>
    <hyperlink ref="F9" r:id="rId2" location="13-aineettomat-hyodykkeet" display="http://www.wartsilareports.com/fi-FI/2018/ar/taloudellinen-katsaus/tilinpaatos/konsernitilinpaatos/konsernitilinpaatoksen-liitetiedot/ - 13-aineettomat-hyodykkeet" xr:uid="{A16A09C9-3CED-42FB-BFDA-A322EB6FDF53}"/>
    <hyperlink ref="F10" r:id="rId3" location="14-aineelliset-hyodykkeet" display="http://www.wartsilareports.com/fi-FI/2018/ar/taloudellinen-katsaus/tilinpaatos/konsernitilinpaatos/konsernitilinpaatoksen-liitetiedot/ - 14-aineelliset-hyodykkeet" xr:uid="{DE05879D-1B5C-44D0-9F34-C3837B93963A}"/>
    <hyperlink ref="F11" r:id="rId4" location="15-sijoitukset-osakkuus-ja-yhteisyrityksiin" display="http://www.wartsilareports.com/fi-FI/2018/ar/taloudellinen-katsaus/tilinpaatos/konsernitilinpaatos/konsernitilinpaatoksen-liitetiedot/ - 15-sijoitukset-osakkuus-ja-yhteisyrityksiin" xr:uid="{B37B9D5B-0379-44E0-9C26-6F9F46956009}"/>
    <hyperlink ref="F12" r:id="rId5" location="16-rahoitusvarat-ja-velat-arvostusryhmittain" display="http://www.wartsilareports.com/fi-FI/2018/ar/taloudellinen-katsaus/tilinpaatos/konsernitilinpaatos/konsernitilinpaatoksen-liitetiedot/ - 16-rahoitusvarat-ja-velat-arvostusryhmittain" xr:uid="{A7D6FAC1-D0E5-4CFE-A248-A57F5000A80B}"/>
    <hyperlink ref="F13" r:id="rId6" location="16-rahoitusvarat-ja-velat-arvostusryhmittain" display="http://www.wartsilareports.com/fi-FI/2018/ar/taloudellinen-katsaus/tilinpaatos/konsernitilinpaatos/konsernitilinpaatoksen-liitetiedot/ - 16-rahoitusvarat-ja-velat-arvostusryhmittain" xr:uid="{AA544725-98C7-4F2E-BB68-9B09B7DA2C7E}"/>
    <hyperlink ref="F21" r:id="rId7" location="18-sopimukseen-perustuvat-taseeseen-merkityt-maarat" display="http://www.wartsilareports.com/fi-FI/2018/ar/taloudellinen-katsaus/tilinpaatos/konsernitilinpaatos/konsernitilinpaatoksen-liitetiedot/ - 18-sopimukseen-perustuvat-taseeseen-merkityt-maarat" xr:uid="{F955AEB9-A174-423F-B2B0-1B21036114E6}"/>
    <hyperlink ref="F20" r:id="rId8" location="17-vaihto-omaisuus" display="http://www.wartsilareports.com/fi-FI/2018/ar/taloudellinen-katsaus/tilinpaatos/konsernitilinpaatos/konsernitilinpaatoksen-liitetiedot/ - 17-vaihto-omaisuus" xr:uid="{97E2AE56-261C-4A8F-96C2-E47BB8DDAA5A}"/>
    <hyperlink ref="F24" r:id="rId9" location="19-muut-saamiset" display="http://www.wartsilareports.com/fi-FI/2018/ar/taloudellinen-katsaus/tilinpaatos/konsernitilinpaatos/konsernitilinpaatoksen-liitetiedot/ - 19-muut-saamiset" xr:uid="{343C2F16-E6A2-4BDD-8E6A-301734DC34BC}"/>
    <hyperlink ref="F16" r:id="rId10" location="19-muut-saamiset" display="http://www.wartsilareports.com/fi-FI/2018/ar/taloudellinen-katsaus/tilinpaatos/konsernitilinpaatos/konsernitilinpaatoksen-liitetiedot/ - 19-muut-saamiset" xr:uid="{0BD6E45D-8BA3-41CF-BC26-3180ABD077E9}"/>
    <hyperlink ref="F25" r:id="rId11" location="21-nettovelan-tasmaytys" display="http://www.wartsilareports.com/fi-FI/2018/ar/taloudellinen-katsaus/tilinpaatos/konsernitilinpaatos/konsernitilinpaatoksen-liitetiedot/ - 21-nettovelan-tasmaytys" xr:uid="{0E8EE079-E1CD-4594-A6BF-2218C579AA84}"/>
    <hyperlink ref="F14" r:id="rId12" location="22-laskennalliset-verot" display="http://www.wartsilareports.com/fi-FI/2018/ar/taloudellinen-katsaus/tilinpaatos/konsernitilinpaatos/konsernitilinpaatoksen-liitetiedot/ - 22-laskennalliset-verot" xr:uid="{A68B54A8-BFA9-42CF-B8A3-9AAB1D381A6C}"/>
    <hyperlink ref="E56" r:id="rId13" location="21-nettovelan-tasmaytys" display="http://www.wartsilareports.com/fi-FI/2018/ar/taloudellinen-katsaus/tilinpaatos/konsernitilinpaatos/konsernitilinpaatoksen-liitetiedot/ - 21-nettovelan-tasmaytys" xr:uid="{CD7EBE40-F437-4BCC-A3FC-27F4D8F7B1F3}"/>
    <hyperlink ref="E58" r:id="rId14" location="16-rahoitusvarat-ja-velat-arvostusryhmittain" display="http://www.wartsilareports.com/fi-FI/2018/ar/taloudellinen-katsaus/tilinpaatos/konsernitilinpaatos/konsernitilinpaatoksen-liitetiedot/ - 16-rahoitusvarat-ja-velat-arvostusryhmittain" xr:uid="{A0C03ABD-4ED1-4769-A9FB-481530BA0A18}"/>
    <hyperlink ref="F48" r:id="rId15" location="22-laskennalliset-verot" display="http://www.wartsilareports.com/fi-FI/2018/ar/taloudellinen-katsaus/tilinpaatos/konsernitilinpaatos/konsernitilinpaatoksen-liitetiedot/ - 22-laskennalliset-verot" xr:uid="{F44D3A4B-F7A5-438D-8BA2-238F86CDB1A3}"/>
    <hyperlink ref="F34" r:id="rId16" location="24-oma-paaoma" display="http://www.wartsilareports.com/fi-FI/2018/ar/taloudellinen-katsaus/tilinpaatos/konsernitilinpaatos/konsernitilinpaatoksen-liitetiedot/ - 24-oma-paaoma" xr:uid="{5B8139A4-BC5C-45AC-95BC-BB35686B1D76}"/>
    <hyperlink ref="F49" r:id="rId17" location="23-elakevelvoitteet" display="http://www.wartsilareports.com/fi-FI/2018/ar/taloudellinen-katsaus/tilinpaatos/konsernitilinpaatos/konsernitilinpaatoksen-liitetiedot/ - 23-elakevelvoitteet" xr:uid="{3019B473-C2B5-476C-8BBA-C518E94928C0}"/>
    <hyperlink ref="F50" r:id="rId18" location="25-varaukset" display="http://www.wartsilareports.com/fi-FI/2018/ar/taloudellinen-katsaus/tilinpaatos/konsernitilinpaatos/konsernitilinpaatoksen-liitetiedot/ - 25-varaukset" xr:uid="{EC9C9B71-0C6D-4D96-B55E-72492CC75EDB}"/>
    <hyperlink ref="F47" r:id="rId19" location="26-rahoitusvelat" display="http://www.wartsilareports.com/fi-FI/2018/ar/taloudellinen-katsaus/tilinpaatos/konsernitilinpaatos/konsernitilinpaatoksen-liitetiedot/ - 26-rahoitusvelat" xr:uid="{33F281BF-188A-4402-B158-8104CC67B566}"/>
    <hyperlink ref="F56" r:id="rId20" location="26-rahoitusvelat" display="http://www.wartsilareports.com/fi-FI/2018/ar/taloudellinen-katsaus/tilinpaatos/konsernitilinpaatos/konsernitilinpaatoksen-liitetiedot/ - 26-rahoitusvelat" xr:uid="{2C7D0AE6-5FB3-411D-916E-3266B15E1CA8}"/>
    <hyperlink ref="F58" r:id="rId21" location="26-rahoitusvelat" display="http://www.wartsilareports.com/fi-FI/2018/ar/taloudellinen-katsaus/tilinpaatos/konsernitilinpaatos/konsernitilinpaatoksen-liitetiedot/ - 26-rahoitusvelat" xr:uid="{51E4D697-0117-42C1-8E5A-702480504325}"/>
    <hyperlink ref="F61" r:id="rId22" location="27-muut-velat" display="http://www.wartsilareports.com/fi-FI/2018/ar/taloudellinen-katsaus/tilinpaatos/konsernitilinpaatos/konsernitilinpaatoksen-liitetiedot/ - 27-muut-velat" xr:uid="{1EC295C8-7452-4FA4-BF0E-D00FB8593818}"/>
    <hyperlink ref="F57" r:id="rId23" location="25-varaukset" display="http://www.wartsilareports.com/fi-FI/2018/ar/taloudellinen-katsaus/tilinpaatos/konsernitilinpaatos/konsernitilinpaatoksen-liitetiedot/ - 25-varaukset" xr:uid="{F8FF4619-743A-43A6-B48A-FDA5C6598D61}"/>
    <hyperlink ref="F52" r:id="rId24" location="27-muut-velat" display="http://www.wartsilareports.com/fi-FI/2018/ar/taloudellinen-katsaus/tilinpaatos/konsernitilinpaatos/konsernitilinpaatoksen-liitetiedot/ - 27-muut-velat" xr:uid="{4E4E33DF-C8E4-4884-94DD-C1653EBB7923}"/>
    <hyperlink ref="F15" r:id="rId25" location="18-sopimukseen-perustuvat-taseeseen-merkityt-maarat" display="http://www.wartsilareports.com/fi-FI/2018/ar/taloudellinen-katsaus/tilinpaatos/konsernitilinpaatos/konsernitilinpaatoksen-liitetiedot/ - 18-sopimukseen-perustuvat-taseeseen-merkityt-maarat" xr:uid="{08D084DB-C593-45DB-B303-AC847F56DB7D}"/>
    <hyperlink ref="E47" r:id="rId26" location="21-nettovelan-tasmaytys" display="http://www.wartsilareports.com/fi-FI/2018/ar/taloudellinen-katsaus/tilinpaatos/konsernitilinpaatos/konsernitilinpaatoksen-liitetiedot/ - 21-nettovelan-tasmaytys" xr:uid="{BC662846-B5B8-42BA-8D53-D84EC69B569E}"/>
    <hyperlink ref="F23" r:id="rId27" location="18-sopimukseen-perustuvat-taseeseen-merkityt-maarat" display="http://www.wartsilareports.com/fi-FI/2018/ar/taloudellinen-katsaus/tilinpaatos/konsernitilinpaatos/konsernitilinpaatoksen-liitetiedot/ - 18-sopimukseen-perustuvat-taseeseen-merkityt-maarat" xr:uid="{6BF2D1F4-3C8C-427A-99F9-61AD8FF6D1D7}"/>
    <hyperlink ref="F60" r:id="rId28" location="18-sopimukseen-perustuvat-taseeseen-merkityt-maarat" display="http://www.wartsilareports.com/fi-FI/2018/ar/taloudellinen-katsaus/tilinpaatos/konsernitilinpaatos/konsernitilinpaatoksen-liitetiedot/ - 18-sopimukseen-perustuvat-taseeseen-merkityt-maarat" xr:uid="{39131FD0-4BB4-4231-B240-CACE0C811884}"/>
    <hyperlink ref="F51" r:id="rId29" location="18-sopimukseen-perustuvat-taseeseen-merkityt-maarat" display="http://www.wartsilareports.com/fi-FI/2018/ar/taloudellinen-katsaus/tilinpaatos/konsernitilinpaatos/konsernitilinpaatoksen-liitetiedot/ - 18-sopimukseen-perustuvat-taseeseen-merkityt-maarat" xr:uid="{0002042F-0677-477C-BE80-F667298B43C5}"/>
    <hyperlink ref="F35" r:id="rId30" location="24-oma-paaoma" display="http://www.wartsilareports.com/fi-FI/2018/ar/taloudellinen-katsaus/tilinpaatos/konsernitilinpaatos/konsernitilinpaatoksen-liitetiedot/ - 24-oma-paaoma" xr:uid="{F39CFD11-E0D5-4250-B1D2-0E7C279C2E08}"/>
    <hyperlink ref="F36" r:id="rId31" location="24-oma-paaoma" display="http://www.wartsilareports.com/fi-FI/2018/ar/taloudellinen-katsaus/tilinpaatos/konsernitilinpaatos/konsernitilinpaatoksen-liitetiedot/ - 24-oma-paaoma" xr:uid="{93970EA0-1038-4CD0-AA18-3404485808BC}"/>
    <hyperlink ref="F37" r:id="rId32" location="24-oma-paaoma" display="http://www.wartsilareports.com/fi-FI/2018/ar/taloudellinen-katsaus/tilinpaatos/konsernitilinpaatos/konsernitilinpaatoksen-liitetiedot/ - 24-oma-paaoma" xr:uid="{A065AFFD-4E09-4F34-9B99-DD30ADC31808}"/>
    <hyperlink ref="E15" r:id="rId33" location="16-rahoitusvarat-ja-velat-arvostusryhmittain" display="http://www.wartsilareports.com/fi-FI/2018/ar/taloudellinen-katsaus/tilinpaatos/konsernitilinpaatos/konsernitilinpaatoksen-liitetiedot/ - 16-rahoitusvarat-ja-velat-arvostusryhmittain" xr:uid="{E807A500-1135-4C90-BBC4-031AA991051E}"/>
    <hyperlink ref="E21" r:id="rId34" location="16-rahoitusvarat-ja-velat-arvostusryhmittain" display="http://www.wartsilareports.com/fi-FI/2018/ar/taloudellinen-katsaus/tilinpaatos/konsernitilinpaatos/konsernitilinpaatoksen-liitetiedot/ - 16-rahoitusvarat-ja-velat-arvostusryhmittain" xr:uid="{17C2C566-5B21-452E-A27A-D3C828CDC242}"/>
    <hyperlink ref="E25" r:id="rId35" location="20-rahavarat" display="http://www.wartsilareports.com/fi-FI/2018/ar/taloudellinen-katsaus/tilinpaatos/konsernitilinpaatos/konsernitilinpaatoksen-liitetiedot/ - 20-rahavarat" xr:uid="{B9A61976-64B8-4C1C-A61C-8A03664038EE}"/>
    <hyperlink ref="D47" r:id="rId36" location="16-rahoitusvarat-ja-velat-arvostusryhmittain" display="http://www.wartsilareports.com/fi-FI/2018/ar/taloudellinen-katsaus/tilinpaatos/konsernitilinpaatos/konsernitilinpaatoksen-liitetiedot/ - 16-rahoitusvarat-ja-velat-arvostusryhmittain" xr:uid="{A4AB898A-60F9-461B-83A3-9E8BA754DFDF}"/>
    <hyperlink ref="D56" r:id="rId37" location="16-rahoitusvarat-ja-velat-arvostusryhmittain" display="http://www.wartsilareports.com/fi-FI/2018/ar/taloudellinen-katsaus/tilinpaatos/konsernitilinpaatos/konsernitilinpaatoksen-liitetiedot/ - 16-rahoitusvarat-ja-velat-arvostusryhmittain" xr:uid="{381DEEBF-0FBD-4043-A534-463EFDD01C5E}"/>
    <hyperlink ref="F38" r:id="rId38" location="23-elakevelvoitteet" display="http://www.wartsilareports.com/fi-FI/2018/ar/taloudellinen-katsaus/tilinpaatos/konsernitilinpaatos/konsernitilinpaatoksen-liitetiedot/ - 23-elakevelvoitteet" xr:uid="{518CD55A-5196-444D-AF9D-F5BC922B2C24}"/>
  </hyperlinks>
  <printOptions horizontalCentered="1"/>
  <pageMargins left="3.937007874015748E-2" right="1.0629921259842521" top="1.1417322834645669" bottom="1.1417322834645669" header="0" footer="0"/>
  <pageSetup paperSize="9" scale="85" fitToHeight="2" orientation="portrait" r:id="rId39"/>
  <headerFooter alignWithMargins="0"/>
  <customProperties>
    <customPr name="SheetOptions" r:id="rId40"/>
  </customPropertie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234"/>
  <sheetViews>
    <sheetView zoomScaleNormal="100" workbookViewId="0">
      <selection sqref="A1:F1"/>
    </sheetView>
  </sheetViews>
  <sheetFormatPr defaultColWidth="8.7109375" defaultRowHeight="13.2"/>
  <cols>
    <col min="1" max="1" width="2.42578125" style="243" customWidth="1"/>
    <col min="2" max="2" width="74.140625" style="242" customWidth="1"/>
    <col min="3" max="3" width="18.28515625" style="273" customWidth="1"/>
    <col min="4" max="4" width="18.28515625" style="216" customWidth="1"/>
    <col min="5" max="5" width="8.28515625" style="216" customWidth="1"/>
    <col min="6" max="6" width="8.28515625" style="414" customWidth="1"/>
    <col min="7" max="17" width="3.7109375" style="205" customWidth="1"/>
    <col min="18" max="16384" width="8.7109375" style="243"/>
  </cols>
  <sheetData>
    <row r="1" spans="1:17" ht="15.75" customHeight="1">
      <c r="A1" s="1175" t="s">
        <v>861</v>
      </c>
      <c r="B1" s="1175"/>
      <c r="C1" s="1175"/>
      <c r="D1" s="1175"/>
      <c r="E1" s="1175"/>
      <c r="F1" s="1175"/>
    </row>
    <row r="2" spans="1:17" s="1081" customFormat="1" ht="11.25" customHeight="1">
      <c r="A2" s="484"/>
      <c r="B2" s="241"/>
      <c r="C2" s="483"/>
      <c r="D2" s="483"/>
      <c r="E2" s="742"/>
      <c r="F2" s="808"/>
      <c r="G2" s="205"/>
      <c r="H2" s="205"/>
      <c r="I2" s="205"/>
      <c r="J2" s="205"/>
      <c r="K2" s="205"/>
      <c r="L2" s="205"/>
      <c r="M2" s="205"/>
      <c r="N2" s="205"/>
      <c r="O2" s="205"/>
      <c r="P2" s="205"/>
      <c r="Q2" s="205"/>
    </row>
    <row r="3" spans="1:17" ht="11.25" customHeight="1">
      <c r="A3" s="1145" t="s">
        <v>740</v>
      </c>
      <c r="B3" s="1145"/>
      <c r="C3" s="615">
        <v>2018</v>
      </c>
      <c r="D3" s="208">
        <v>2017</v>
      </c>
      <c r="E3" s="1176" t="s">
        <v>647</v>
      </c>
      <c r="F3" s="1176"/>
    </row>
    <row r="4" spans="1:17" ht="11.25" customHeight="1">
      <c r="A4" s="1146" t="s">
        <v>181</v>
      </c>
      <c r="B4" s="1146"/>
      <c r="C4" s="616"/>
      <c r="D4" s="424"/>
      <c r="E4" s="424"/>
      <c r="F4" s="487"/>
    </row>
    <row r="5" spans="1:17" ht="11.25" customHeight="1">
      <c r="A5" s="1161" t="s">
        <v>617</v>
      </c>
      <c r="B5" s="1161"/>
      <c r="C5" s="621">
        <v>386</v>
      </c>
      <c r="D5" s="424">
        <v>375</v>
      </c>
      <c r="E5" s="424"/>
      <c r="F5" s="500"/>
    </row>
    <row r="6" spans="1:17" ht="11.25" customHeight="1">
      <c r="A6" s="1161" t="s">
        <v>862</v>
      </c>
      <c r="B6" s="1161"/>
      <c r="C6" s="621"/>
      <c r="D6" s="424"/>
      <c r="E6" s="424"/>
      <c r="F6" s="746"/>
    </row>
    <row r="7" spans="1:17" ht="11.25" customHeight="1">
      <c r="A7" s="1124" t="s">
        <v>623</v>
      </c>
      <c r="B7" s="1124"/>
      <c r="C7" s="621">
        <v>130</v>
      </c>
      <c r="D7" s="424">
        <v>134</v>
      </c>
      <c r="E7" s="502"/>
      <c r="F7" s="743">
        <v>8</v>
      </c>
    </row>
    <row r="8" spans="1:17" ht="11.25" customHeight="1">
      <c r="A8" s="1124" t="s">
        <v>615</v>
      </c>
      <c r="B8" s="1124"/>
      <c r="C8" s="621">
        <v>39</v>
      </c>
      <c r="D8" s="424">
        <v>47</v>
      </c>
      <c r="E8" s="502"/>
      <c r="F8" s="743">
        <v>10</v>
      </c>
    </row>
    <row r="9" spans="1:17" ht="11.25" customHeight="1">
      <c r="A9" s="1173" t="s">
        <v>1078</v>
      </c>
      <c r="B9" s="1173"/>
      <c r="C9" s="621">
        <v>-26</v>
      </c>
      <c r="D9" s="424">
        <v>-17</v>
      </c>
      <c r="E9" s="502"/>
      <c r="F9" s="746"/>
    </row>
    <row r="10" spans="1:17" ht="11.25" customHeight="1">
      <c r="A10" s="1124" t="s">
        <v>850</v>
      </c>
      <c r="B10" s="1124"/>
      <c r="C10" s="621">
        <v>-13</v>
      </c>
      <c r="D10" s="424">
        <v>-13</v>
      </c>
      <c r="E10" s="502"/>
      <c r="F10" s="745">
        <v>15</v>
      </c>
    </row>
    <row r="11" spans="1:17" ht="11.25" customHeight="1">
      <c r="A11" s="1124" t="s">
        <v>457</v>
      </c>
      <c r="B11" s="1124"/>
      <c r="C11" s="630">
        <v>116</v>
      </c>
      <c r="D11" s="502">
        <v>117</v>
      </c>
      <c r="E11" s="502"/>
      <c r="F11" s="745">
        <v>11</v>
      </c>
      <c r="G11" s="1046"/>
      <c r="H11" s="1046"/>
      <c r="I11" s="1046"/>
      <c r="J11" s="1046"/>
      <c r="K11" s="1046"/>
      <c r="L11" s="1046"/>
      <c r="M11" s="1046"/>
      <c r="N11" s="1046"/>
      <c r="O11" s="1046"/>
      <c r="P11" s="1046"/>
      <c r="Q11" s="1046"/>
    </row>
    <row r="12" spans="1:17" ht="11.25" customHeight="1">
      <c r="A12" s="1141" t="s">
        <v>1596</v>
      </c>
      <c r="B12" s="1141"/>
      <c r="C12" s="631">
        <v>-7</v>
      </c>
      <c r="D12" s="475"/>
      <c r="E12" s="480"/>
      <c r="F12" s="1100"/>
    </row>
    <row r="13" spans="1:17" ht="11.25" customHeight="1">
      <c r="A13" s="1161" t="s">
        <v>863</v>
      </c>
      <c r="B13" s="1161"/>
      <c r="C13" s="632">
        <v>625</v>
      </c>
      <c r="D13" s="515">
        <v>643</v>
      </c>
      <c r="E13" s="739"/>
      <c r="F13" s="1097"/>
    </row>
    <row r="14" spans="1:17" ht="11.25" customHeight="1">
      <c r="A14" s="805"/>
      <c r="B14" s="807"/>
      <c r="C14" s="621"/>
      <c r="D14" s="513"/>
      <c r="E14" s="513"/>
      <c r="F14" s="746"/>
    </row>
    <row r="15" spans="1:17" ht="11.25" customHeight="1">
      <c r="A15" s="1146" t="s">
        <v>864</v>
      </c>
      <c r="B15" s="1146"/>
      <c r="C15" s="621"/>
      <c r="D15" s="513"/>
      <c r="E15" s="747"/>
      <c r="F15" s="746"/>
    </row>
    <row r="16" spans="1:17" ht="11.25" customHeight="1">
      <c r="A16" s="1161" t="s">
        <v>501</v>
      </c>
      <c r="B16" s="1161"/>
      <c r="C16" s="621">
        <v>-22</v>
      </c>
      <c r="D16" s="514">
        <v>-284</v>
      </c>
      <c r="E16" s="553"/>
      <c r="F16" s="746"/>
    </row>
    <row r="17" spans="1:17" ht="11.25" customHeight="1">
      <c r="A17" s="1161" t="s">
        <v>41</v>
      </c>
      <c r="B17" s="1161"/>
      <c r="C17" s="621">
        <v>-130</v>
      </c>
      <c r="D17" s="514">
        <v>-27</v>
      </c>
      <c r="E17" s="553"/>
      <c r="F17" s="743">
        <v>17</v>
      </c>
      <c r="G17" s="239"/>
    </row>
    <row r="18" spans="1:17" ht="11.25" customHeight="1">
      <c r="A18" s="1166" t="s">
        <v>400</v>
      </c>
      <c r="B18" s="1166"/>
      <c r="C18" s="631">
        <v>117</v>
      </c>
      <c r="D18" s="475">
        <v>223</v>
      </c>
      <c r="E18" s="480"/>
      <c r="F18" s="1103"/>
    </row>
    <row r="19" spans="1:17" ht="11.25" customHeight="1">
      <c r="A19" s="1161" t="s">
        <v>896</v>
      </c>
      <c r="B19" s="1161"/>
      <c r="C19" s="632">
        <v>-35</v>
      </c>
      <c r="D19" s="515">
        <v>-87</v>
      </c>
      <c r="E19" s="739"/>
      <c r="F19" s="1097"/>
    </row>
    <row r="20" spans="1:17" ht="11.25" customHeight="1">
      <c r="A20" s="1167"/>
      <c r="B20" s="1167"/>
      <c r="C20" s="621"/>
      <c r="D20" s="513"/>
      <c r="E20" s="513"/>
      <c r="F20" s="512"/>
    </row>
    <row r="21" spans="1:17" ht="11.25" customHeight="1">
      <c r="A21" s="1143" t="s">
        <v>899</v>
      </c>
      <c r="B21" s="1143"/>
      <c r="C21" s="621">
        <v>589</v>
      </c>
      <c r="D21" s="514">
        <v>555</v>
      </c>
      <c r="E21" s="514"/>
      <c r="F21" s="512"/>
    </row>
    <row r="22" spans="1:17" ht="11.25" customHeight="1">
      <c r="A22" s="1167"/>
      <c r="B22" s="1167"/>
      <c r="C22" s="621"/>
      <c r="D22" s="513"/>
      <c r="E22" s="513"/>
      <c r="F22" s="512"/>
    </row>
    <row r="23" spans="1:17" ht="11.25" customHeight="1">
      <c r="A23" s="1146" t="s">
        <v>416</v>
      </c>
      <c r="B23" s="1146"/>
      <c r="C23" s="621"/>
      <c r="D23" s="513"/>
      <c r="E23" s="513"/>
      <c r="F23" s="512"/>
    </row>
    <row r="24" spans="1:17" ht="11.25" customHeight="1">
      <c r="A24" s="1161" t="s">
        <v>1275</v>
      </c>
      <c r="B24" s="1161"/>
      <c r="C24" s="621">
        <v>6</v>
      </c>
      <c r="D24" s="514">
        <v>1</v>
      </c>
      <c r="E24" s="514"/>
      <c r="F24" s="512"/>
    </row>
    <row r="25" spans="1:17" ht="11.25" customHeight="1">
      <c r="A25" s="1161" t="s">
        <v>1276</v>
      </c>
      <c r="B25" s="1161"/>
      <c r="C25" s="621">
        <v>-14</v>
      </c>
      <c r="D25" s="514">
        <v>-6</v>
      </c>
      <c r="E25" s="514"/>
      <c r="F25" s="512"/>
    </row>
    <row r="26" spans="1:17" ht="11.25" customHeight="1">
      <c r="A26" s="1161" t="s">
        <v>1277</v>
      </c>
      <c r="B26" s="1161"/>
      <c r="C26" s="641">
        <v>-7</v>
      </c>
      <c r="D26" s="553">
        <v>-2</v>
      </c>
      <c r="E26" s="553"/>
      <c r="F26" s="746"/>
      <c r="G26" s="893"/>
      <c r="H26" s="893"/>
      <c r="I26" s="893"/>
      <c r="J26" s="893"/>
      <c r="K26" s="893"/>
      <c r="L26" s="893"/>
      <c r="M26" s="893"/>
      <c r="N26" s="893"/>
      <c r="O26" s="893"/>
      <c r="P26" s="893"/>
      <c r="Q26" s="893"/>
    </row>
    <row r="27" spans="1:17" ht="11.25" customHeight="1">
      <c r="A27" s="1166" t="s">
        <v>905</v>
      </c>
      <c r="B27" s="1166"/>
      <c r="C27" s="631">
        <v>-104</v>
      </c>
      <c r="D27" s="475">
        <v>-119</v>
      </c>
      <c r="E27" s="480"/>
      <c r="F27" s="1103"/>
    </row>
    <row r="28" spans="1:17" ht="11.25" customHeight="1">
      <c r="A28" s="1161" t="s">
        <v>417</v>
      </c>
      <c r="B28" s="1161"/>
      <c r="C28" s="640">
        <v>-119</v>
      </c>
      <c r="D28" s="515">
        <v>-126</v>
      </c>
      <c r="E28" s="739"/>
      <c r="F28" s="1097"/>
    </row>
    <row r="29" spans="1:17" ht="11.25" customHeight="1">
      <c r="A29" s="567"/>
      <c r="B29" s="550"/>
      <c r="C29" s="666"/>
      <c r="D29" s="479"/>
      <c r="E29" s="479"/>
      <c r="F29" s="1105"/>
    </row>
    <row r="30" spans="1:17" ht="11.25" customHeight="1">
      <c r="A30" s="1169" t="s">
        <v>585</v>
      </c>
      <c r="B30" s="1169"/>
      <c r="C30" s="626">
        <v>470</v>
      </c>
      <c r="D30" s="526">
        <v>430</v>
      </c>
      <c r="E30" s="526"/>
      <c r="F30" s="1107"/>
    </row>
    <row r="31" spans="1:17" ht="11.25" customHeight="1">
      <c r="A31" s="805"/>
      <c r="B31" s="807"/>
      <c r="C31" s="640"/>
      <c r="D31" s="509"/>
      <c r="E31" s="738"/>
      <c r="F31" s="1097"/>
    </row>
    <row r="32" spans="1:17" ht="11.25" customHeight="1">
      <c r="A32" s="1146" t="s">
        <v>902</v>
      </c>
      <c r="B32" s="1146"/>
      <c r="C32" s="641"/>
      <c r="D32" s="513"/>
      <c r="E32" s="513"/>
      <c r="F32" s="746"/>
    </row>
    <row r="33" spans="1:17" ht="11.25" customHeight="1">
      <c r="A33" s="1161" t="s">
        <v>1051</v>
      </c>
      <c r="B33" s="1161"/>
      <c r="C33" s="641">
        <v>-191</v>
      </c>
      <c r="D33" s="514">
        <v>-191</v>
      </c>
      <c r="E33" s="553"/>
      <c r="F33" s="743">
        <v>2</v>
      </c>
      <c r="G33" s="239"/>
    </row>
    <row r="34" spans="1:17" ht="11.25" customHeight="1">
      <c r="A34" s="1161" t="s">
        <v>932</v>
      </c>
      <c r="B34" s="1161"/>
      <c r="C34" s="641">
        <v>-1</v>
      </c>
      <c r="D34" s="514"/>
      <c r="E34" s="553"/>
      <c r="F34" s="745">
        <v>15</v>
      </c>
    </row>
    <row r="35" spans="1:17" ht="11.25" customHeight="1">
      <c r="A35" s="1161" t="s">
        <v>1261</v>
      </c>
      <c r="B35" s="1161"/>
      <c r="C35" s="641">
        <v>-3</v>
      </c>
      <c r="D35" s="514"/>
      <c r="E35" s="553"/>
      <c r="F35" s="743">
        <v>16</v>
      </c>
    </row>
    <row r="36" spans="1:17" ht="11.25" customHeight="1">
      <c r="A36" s="1161" t="s">
        <v>422</v>
      </c>
      <c r="B36" s="1161"/>
      <c r="C36" s="641">
        <v>-110</v>
      </c>
      <c r="D36" s="514">
        <v>-64</v>
      </c>
      <c r="E36" s="745">
        <v>13</v>
      </c>
      <c r="F36" s="745">
        <v>14</v>
      </c>
    </row>
    <row r="37" spans="1:17" ht="11.25" customHeight="1">
      <c r="A37" s="1161" t="s">
        <v>1511</v>
      </c>
      <c r="B37" s="1161"/>
      <c r="C37" s="641">
        <v>13</v>
      </c>
      <c r="D37" s="514"/>
      <c r="E37" s="745"/>
      <c r="F37" s="745"/>
      <c r="G37" s="1046"/>
      <c r="H37" s="1046"/>
      <c r="I37" s="1046"/>
      <c r="J37" s="1046"/>
      <c r="K37" s="1046"/>
      <c r="L37" s="1046"/>
      <c r="M37" s="1046"/>
      <c r="N37" s="1046"/>
      <c r="O37" s="1046"/>
      <c r="P37" s="1046"/>
      <c r="Q37" s="1046"/>
    </row>
    <row r="38" spans="1:17" ht="11.25" customHeight="1">
      <c r="A38" s="1161" t="s">
        <v>421</v>
      </c>
      <c r="B38" s="1161"/>
      <c r="C38" s="641">
        <v>11</v>
      </c>
      <c r="D38" s="514">
        <v>17</v>
      </c>
      <c r="E38" s="553"/>
      <c r="F38" s="743">
        <v>15</v>
      </c>
    </row>
    <row r="39" spans="1:17" ht="11.25" customHeight="1">
      <c r="A39" s="1161" t="s">
        <v>1543</v>
      </c>
      <c r="B39" s="1161"/>
      <c r="C39" s="641">
        <v>41</v>
      </c>
      <c r="D39" s="514"/>
      <c r="E39" s="553"/>
      <c r="F39" s="743">
        <v>3</v>
      </c>
      <c r="G39" s="1054"/>
      <c r="H39" s="1054"/>
      <c r="I39" s="1054"/>
      <c r="J39" s="1054"/>
      <c r="K39" s="1054"/>
      <c r="L39" s="1054"/>
      <c r="M39" s="1054"/>
      <c r="N39" s="1054"/>
      <c r="O39" s="1054"/>
      <c r="P39" s="1054"/>
      <c r="Q39" s="1054"/>
    </row>
    <row r="40" spans="1:17" ht="11.25" customHeight="1">
      <c r="A40" s="1161" t="s">
        <v>1282</v>
      </c>
      <c r="B40" s="1161"/>
      <c r="C40" s="641"/>
      <c r="D40" s="514">
        <v>2</v>
      </c>
      <c r="E40" s="553"/>
      <c r="F40" s="743">
        <v>16</v>
      </c>
    </row>
    <row r="41" spans="1:17" ht="11.25" customHeight="1">
      <c r="A41" s="1166" t="s">
        <v>851</v>
      </c>
      <c r="B41" s="1166"/>
      <c r="C41" s="664">
        <v>1</v>
      </c>
      <c r="D41" s="544">
        <v>1</v>
      </c>
      <c r="E41" s="544"/>
      <c r="F41" s="1103"/>
    </row>
    <row r="42" spans="1:17" ht="11.25" customHeight="1">
      <c r="A42" s="1169" t="s">
        <v>588</v>
      </c>
      <c r="B42" s="1169"/>
      <c r="C42" s="626">
        <v>-240</v>
      </c>
      <c r="D42" s="526">
        <v>-235</v>
      </c>
      <c r="E42" s="526"/>
      <c r="F42" s="1107"/>
    </row>
    <row r="43" spans="1:17" ht="11.25" customHeight="1">
      <c r="A43" s="805"/>
      <c r="B43" s="807"/>
      <c r="C43" s="640"/>
      <c r="D43" s="509"/>
      <c r="E43" s="738"/>
      <c r="F43" s="1097"/>
    </row>
    <row r="44" spans="1:17" ht="11.25" customHeight="1">
      <c r="A44" s="1143" t="s">
        <v>852</v>
      </c>
      <c r="B44" s="1143"/>
      <c r="C44" s="641">
        <v>230</v>
      </c>
      <c r="D44" s="424">
        <v>195</v>
      </c>
      <c r="E44" s="502"/>
      <c r="F44" s="746"/>
    </row>
    <row r="45" spans="1:17" ht="11.25" customHeight="1">
      <c r="A45" s="805"/>
      <c r="B45" s="807"/>
      <c r="C45" s="641"/>
      <c r="D45" s="513"/>
      <c r="E45" s="747"/>
      <c r="F45" s="746"/>
    </row>
    <row r="46" spans="1:17" s="251" customFormat="1" ht="11.25" customHeight="1">
      <c r="A46" s="1146" t="s">
        <v>306</v>
      </c>
      <c r="B46" s="1146"/>
      <c r="C46" s="641"/>
      <c r="D46" s="513"/>
      <c r="E46" s="747"/>
      <c r="F46" s="746"/>
      <c r="G46" s="205"/>
      <c r="H46" s="205"/>
      <c r="I46" s="205"/>
      <c r="J46" s="205"/>
      <c r="K46" s="205"/>
      <c r="L46" s="205"/>
      <c r="M46" s="205"/>
      <c r="N46" s="205"/>
      <c r="O46" s="205"/>
      <c r="P46" s="205"/>
      <c r="Q46" s="205"/>
    </row>
    <row r="47" spans="1:17" ht="11.25" customHeight="1">
      <c r="A47" s="1117" t="s">
        <v>678</v>
      </c>
      <c r="B47" s="1117"/>
      <c r="C47" s="641">
        <v>279</v>
      </c>
      <c r="D47" s="514">
        <v>90</v>
      </c>
      <c r="E47" s="553"/>
      <c r="F47" s="745"/>
    </row>
    <row r="48" spans="1:17" ht="11.25" customHeight="1">
      <c r="A48" s="1161" t="s">
        <v>681</v>
      </c>
      <c r="B48" s="1161"/>
      <c r="C48" s="641">
        <v>-84</v>
      </c>
      <c r="D48" s="514">
        <v>-101</v>
      </c>
      <c r="E48" s="553"/>
      <c r="F48" s="745">
        <v>26</v>
      </c>
    </row>
    <row r="49" spans="1:7" ht="11.25" customHeight="1">
      <c r="A49" s="1161" t="s">
        <v>853</v>
      </c>
      <c r="B49" s="1161"/>
      <c r="C49" s="641">
        <v>-4</v>
      </c>
      <c r="D49" s="514">
        <v>2</v>
      </c>
      <c r="E49" s="553"/>
      <c r="F49" s="500"/>
    </row>
    <row r="50" spans="1:7" ht="11.25" customHeight="1">
      <c r="A50" s="1161" t="s">
        <v>136</v>
      </c>
      <c r="B50" s="1161"/>
      <c r="C50" s="641">
        <v>-35</v>
      </c>
      <c r="D50" s="514">
        <v>-5</v>
      </c>
      <c r="E50" s="514"/>
      <c r="F50" s="500"/>
    </row>
    <row r="51" spans="1:7" ht="11.25" customHeight="1">
      <c r="A51" s="1166" t="s">
        <v>683</v>
      </c>
      <c r="B51" s="1166"/>
      <c r="C51" s="625">
        <v>-274</v>
      </c>
      <c r="D51" s="480">
        <v>-264</v>
      </c>
      <c r="E51" s="480"/>
      <c r="F51" s="583"/>
    </row>
    <row r="52" spans="1:7" ht="11.25" customHeight="1">
      <c r="A52" s="1169" t="s">
        <v>346</v>
      </c>
      <c r="B52" s="1169"/>
      <c r="C52" s="626">
        <v>-118</v>
      </c>
      <c r="D52" s="526">
        <v>-278</v>
      </c>
      <c r="E52" s="526"/>
      <c r="F52" s="529"/>
    </row>
    <row r="53" spans="1:7" ht="11.25" customHeight="1">
      <c r="A53" s="805"/>
      <c r="B53" s="807"/>
      <c r="C53" s="640"/>
      <c r="D53" s="509"/>
      <c r="E53" s="738"/>
      <c r="F53" s="497"/>
    </row>
    <row r="54" spans="1:7" ht="11.25" customHeight="1">
      <c r="A54" s="1143" t="s">
        <v>508</v>
      </c>
      <c r="B54" s="1143"/>
      <c r="C54" s="624">
        <v>112</v>
      </c>
      <c r="D54" s="427">
        <v>-83</v>
      </c>
      <c r="E54" s="427"/>
      <c r="F54" s="500"/>
      <c r="G54" s="264"/>
    </row>
    <row r="55" spans="1:7" ht="11.25" customHeight="1">
      <c r="A55" s="805"/>
      <c r="B55" s="807"/>
      <c r="C55" s="642"/>
      <c r="D55" s="510"/>
      <c r="E55" s="510"/>
      <c r="F55" s="487"/>
    </row>
    <row r="56" spans="1:7" ht="11.25" customHeight="1">
      <c r="A56" s="1161" t="s">
        <v>891</v>
      </c>
      <c r="B56" s="1161"/>
      <c r="C56" s="642">
        <v>379</v>
      </c>
      <c r="D56" s="511">
        <v>472</v>
      </c>
      <c r="E56" s="511"/>
      <c r="F56" s="485"/>
    </row>
    <row r="57" spans="1:7" ht="11.25" customHeight="1">
      <c r="A57" s="1161" t="s">
        <v>892</v>
      </c>
      <c r="B57" s="1161"/>
      <c r="C57" s="642">
        <v>-4.9130000000000003</v>
      </c>
      <c r="D57" s="511">
        <v>-10</v>
      </c>
      <c r="E57" s="511"/>
      <c r="F57" s="485"/>
    </row>
    <row r="58" spans="1:7" ht="11.25" customHeight="1">
      <c r="A58" s="1161" t="s">
        <v>893</v>
      </c>
      <c r="B58" s="1161"/>
      <c r="C58" s="642">
        <v>487</v>
      </c>
      <c r="D58" s="511">
        <v>379</v>
      </c>
      <c r="E58" s="511"/>
      <c r="F58" s="485"/>
    </row>
    <row r="59" spans="1:7" ht="11.25" customHeight="1">
      <c r="B59" s="265"/>
      <c r="C59" s="266"/>
      <c r="D59" s="267"/>
      <c r="E59" s="267"/>
    </row>
    <row r="60" spans="1:7" ht="11.25" customHeight="1">
      <c r="A60" s="1150" t="s">
        <v>1641</v>
      </c>
      <c r="B60" s="1150"/>
      <c r="C60" s="1150"/>
      <c r="D60" s="1150"/>
      <c r="E60" s="1150"/>
      <c r="F60" s="1150"/>
    </row>
    <row r="61" spans="1:7" ht="11.25" customHeight="1">
      <c r="B61" s="269"/>
      <c r="C61" s="268"/>
      <c r="D61" s="267"/>
      <c r="E61" s="267"/>
    </row>
    <row r="62" spans="1:7" ht="10.5" customHeight="1">
      <c r="B62" s="269"/>
      <c r="C62" s="268"/>
      <c r="D62" s="267"/>
      <c r="E62" s="267"/>
    </row>
    <row r="63" spans="1:7" ht="10.5" customHeight="1">
      <c r="B63" s="1150"/>
      <c r="C63" s="1150"/>
      <c r="D63" s="1150"/>
      <c r="E63" s="1150"/>
      <c r="F63" s="1150"/>
    </row>
    <row r="64" spans="1:7" ht="10.5" customHeight="1">
      <c r="B64" s="269"/>
      <c r="C64" s="268"/>
      <c r="D64" s="267"/>
      <c r="E64" s="267"/>
    </row>
    <row r="65" spans="2:5" ht="10.5" customHeight="1">
      <c r="B65" s="269"/>
      <c r="C65" s="268"/>
      <c r="D65" s="267"/>
      <c r="E65" s="267"/>
    </row>
    <row r="66" spans="2:5" ht="12">
      <c r="B66" s="269"/>
      <c r="C66" s="268"/>
      <c r="D66" s="267"/>
      <c r="E66" s="267"/>
    </row>
    <row r="67" spans="2:5" ht="12">
      <c r="B67" s="269"/>
      <c r="C67" s="268"/>
      <c r="D67" s="267"/>
      <c r="E67" s="267"/>
    </row>
    <row r="68" spans="2:5" ht="12">
      <c r="B68" s="269"/>
      <c r="C68" s="268"/>
      <c r="D68" s="267"/>
      <c r="E68" s="267"/>
    </row>
    <row r="69" spans="2:5" ht="12">
      <c r="B69" s="269"/>
      <c r="C69" s="268"/>
      <c r="D69" s="267"/>
      <c r="E69" s="267"/>
    </row>
    <row r="70" spans="2:5" ht="12">
      <c r="B70" s="269"/>
      <c r="C70" s="268"/>
      <c r="D70" s="267"/>
      <c r="E70" s="267"/>
    </row>
    <row r="71" spans="2:5" ht="12">
      <c r="B71" s="269"/>
      <c r="C71" s="268"/>
      <c r="D71" s="267"/>
      <c r="E71" s="267"/>
    </row>
    <row r="72" spans="2:5" ht="12">
      <c r="B72" s="269"/>
      <c r="C72" s="268"/>
      <c r="D72" s="267"/>
      <c r="E72" s="267"/>
    </row>
    <row r="73" spans="2:5" ht="12">
      <c r="B73" s="269"/>
      <c r="C73" s="270"/>
      <c r="D73" s="271"/>
      <c r="E73" s="271"/>
    </row>
    <row r="74" spans="2:5" ht="12">
      <c r="B74" s="269"/>
      <c r="C74" s="270"/>
      <c r="D74" s="271"/>
      <c r="E74" s="271"/>
    </row>
    <row r="75" spans="2:5" ht="12">
      <c r="B75" s="269"/>
      <c r="C75" s="270"/>
      <c r="D75" s="271"/>
      <c r="E75" s="271"/>
    </row>
    <row r="76" spans="2:5" ht="12">
      <c r="B76" s="269"/>
      <c r="C76" s="270"/>
      <c r="D76" s="271"/>
      <c r="E76" s="271"/>
    </row>
    <row r="77" spans="2:5">
      <c r="B77" s="241"/>
      <c r="C77" s="272"/>
      <c r="D77" s="218"/>
      <c r="E77" s="218"/>
    </row>
    <row r="78" spans="2:5">
      <c r="B78" s="241"/>
      <c r="C78" s="272"/>
      <c r="D78" s="218"/>
      <c r="E78" s="218"/>
    </row>
    <row r="79" spans="2:5">
      <c r="B79" s="241"/>
      <c r="C79" s="272"/>
      <c r="D79" s="218"/>
      <c r="E79" s="218"/>
    </row>
    <row r="80" spans="2:5">
      <c r="B80" s="241"/>
      <c r="C80" s="272"/>
      <c r="D80" s="218"/>
      <c r="E80" s="218"/>
    </row>
    <row r="81" spans="2:5">
      <c r="B81" s="241"/>
      <c r="C81" s="272"/>
      <c r="D81" s="218"/>
      <c r="E81" s="218"/>
    </row>
    <row r="82" spans="2:5">
      <c r="B82" s="241"/>
      <c r="C82" s="272"/>
      <c r="D82" s="218"/>
      <c r="E82" s="218"/>
    </row>
    <row r="83" spans="2:5">
      <c r="B83" s="241"/>
      <c r="C83" s="272"/>
      <c r="D83" s="218"/>
      <c r="E83" s="218"/>
    </row>
    <row r="84" spans="2:5">
      <c r="B84" s="241"/>
      <c r="C84" s="272"/>
      <c r="D84" s="218"/>
      <c r="E84" s="218"/>
    </row>
    <row r="85" spans="2:5">
      <c r="B85" s="241"/>
      <c r="C85" s="272"/>
      <c r="D85" s="218"/>
      <c r="E85" s="218"/>
    </row>
    <row r="86" spans="2:5">
      <c r="C86" s="272"/>
      <c r="D86" s="218"/>
      <c r="E86" s="218"/>
    </row>
    <row r="87" spans="2:5">
      <c r="C87" s="272"/>
      <c r="D87" s="218"/>
      <c r="E87" s="218"/>
    </row>
    <row r="88" spans="2:5">
      <c r="C88" s="272"/>
      <c r="D88" s="218"/>
      <c r="E88" s="218"/>
    </row>
    <row r="89" spans="2:5">
      <c r="C89" s="272"/>
      <c r="D89" s="218"/>
      <c r="E89" s="218"/>
    </row>
    <row r="90" spans="2:5">
      <c r="C90" s="272"/>
      <c r="D90" s="218"/>
      <c r="E90" s="218"/>
    </row>
    <row r="91" spans="2:5">
      <c r="C91" s="272"/>
      <c r="D91" s="218"/>
      <c r="E91" s="218"/>
    </row>
    <row r="92" spans="2:5">
      <c r="C92" s="272"/>
      <c r="D92" s="218"/>
      <c r="E92" s="218"/>
    </row>
    <row r="93" spans="2:5">
      <c r="C93" s="272"/>
      <c r="D93" s="218"/>
      <c r="E93" s="218"/>
    </row>
    <row r="94" spans="2:5">
      <c r="C94" s="272"/>
      <c r="D94" s="218"/>
      <c r="E94" s="218"/>
    </row>
    <row r="95" spans="2:5">
      <c r="C95" s="272"/>
      <c r="D95" s="218"/>
      <c r="E95" s="218"/>
    </row>
    <row r="96" spans="2:5">
      <c r="C96" s="272"/>
      <c r="D96" s="218"/>
      <c r="E96" s="218"/>
    </row>
    <row r="97" spans="3:5">
      <c r="C97" s="218"/>
      <c r="D97" s="218"/>
      <c r="E97" s="218"/>
    </row>
    <row r="98" spans="3:5">
      <c r="C98" s="218"/>
      <c r="D98" s="218"/>
      <c r="E98" s="218"/>
    </row>
    <row r="99" spans="3:5">
      <c r="C99" s="218"/>
      <c r="D99" s="218"/>
      <c r="E99" s="218"/>
    </row>
    <row r="100" spans="3:5">
      <c r="C100" s="218"/>
      <c r="D100" s="218"/>
      <c r="E100" s="218"/>
    </row>
    <row r="101" spans="3:5">
      <c r="C101" s="218"/>
      <c r="D101" s="218"/>
      <c r="E101" s="218"/>
    </row>
    <row r="102" spans="3:5">
      <c r="C102" s="218"/>
      <c r="D102" s="218"/>
      <c r="E102" s="218"/>
    </row>
    <row r="103" spans="3:5">
      <c r="C103" s="218"/>
      <c r="D103" s="218"/>
      <c r="E103" s="218"/>
    </row>
    <row r="104" spans="3:5">
      <c r="C104" s="218"/>
      <c r="D104" s="218"/>
      <c r="E104" s="218"/>
    </row>
    <row r="105" spans="3:5">
      <c r="C105" s="218"/>
      <c r="D105" s="218"/>
      <c r="E105" s="218"/>
    </row>
    <row r="106" spans="3:5">
      <c r="C106" s="218"/>
      <c r="D106" s="218"/>
      <c r="E106" s="218"/>
    </row>
    <row r="107" spans="3:5">
      <c r="C107" s="218"/>
      <c r="D107" s="218"/>
      <c r="E107" s="218"/>
    </row>
    <row r="108" spans="3:5">
      <c r="C108" s="218"/>
      <c r="D108" s="218"/>
      <c r="E108" s="218"/>
    </row>
    <row r="109" spans="3:5">
      <c r="C109" s="218"/>
      <c r="D109" s="218"/>
      <c r="E109" s="218"/>
    </row>
    <row r="110" spans="3:5">
      <c r="C110" s="218"/>
      <c r="D110" s="218"/>
      <c r="E110" s="218"/>
    </row>
    <row r="111" spans="3:5">
      <c r="C111" s="218"/>
      <c r="D111" s="218"/>
      <c r="E111" s="218"/>
    </row>
    <row r="112" spans="3:5">
      <c r="C112" s="218"/>
      <c r="D112" s="218"/>
      <c r="E112" s="218"/>
    </row>
    <row r="113" spans="2:5">
      <c r="C113" s="218"/>
      <c r="D113" s="218"/>
      <c r="E113" s="218"/>
    </row>
    <row r="114" spans="2:5">
      <c r="C114" s="218"/>
      <c r="D114" s="218"/>
      <c r="E114" s="218"/>
    </row>
    <row r="115" spans="2:5">
      <c r="C115" s="218"/>
      <c r="D115" s="218"/>
      <c r="E115" s="218"/>
    </row>
    <row r="116" spans="2:5">
      <c r="C116" s="218"/>
      <c r="D116" s="218"/>
      <c r="E116" s="218"/>
    </row>
    <row r="117" spans="2:5">
      <c r="C117" s="218"/>
      <c r="D117" s="218"/>
      <c r="E117" s="218"/>
    </row>
    <row r="118" spans="2:5">
      <c r="C118" s="218"/>
      <c r="D118" s="218"/>
      <c r="E118" s="218"/>
    </row>
    <row r="119" spans="2:5">
      <c r="C119" s="218"/>
      <c r="D119" s="218"/>
      <c r="E119" s="218"/>
    </row>
    <row r="120" spans="2:5">
      <c r="C120" s="218"/>
      <c r="D120" s="218"/>
      <c r="E120" s="218"/>
    </row>
    <row r="121" spans="2:5">
      <c r="C121" s="218"/>
      <c r="D121" s="218"/>
      <c r="E121" s="218"/>
    </row>
    <row r="122" spans="2:5">
      <c r="C122" s="218"/>
      <c r="D122" s="218"/>
      <c r="E122" s="218"/>
    </row>
    <row r="123" spans="2:5">
      <c r="B123" s="269"/>
      <c r="C123" s="218"/>
      <c r="D123" s="218"/>
      <c r="E123" s="218"/>
    </row>
    <row r="124" spans="2:5">
      <c r="C124" s="218"/>
      <c r="D124" s="218"/>
      <c r="E124" s="218"/>
    </row>
    <row r="125" spans="2:5">
      <c r="C125" s="218"/>
      <c r="D125" s="218"/>
      <c r="E125" s="218"/>
    </row>
    <row r="126" spans="2:5">
      <c r="C126" s="218"/>
      <c r="D126" s="218"/>
      <c r="E126" s="218"/>
    </row>
    <row r="127" spans="2:5">
      <c r="C127" s="218"/>
      <c r="D127" s="218"/>
      <c r="E127" s="218"/>
    </row>
    <row r="128" spans="2:5">
      <c r="C128" s="218"/>
      <c r="D128" s="218"/>
      <c r="E128" s="218"/>
    </row>
    <row r="129" spans="3:5">
      <c r="C129" s="218"/>
      <c r="D129" s="218"/>
      <c r="E129" s="218"/>
    </row>
    <row r="130" spans="3:5">
      <c r="C130" s="218"/>
      <c r="D130" s="218"/>
      <c r="E130" s="218"/>
    </row>
    <row r="131" spans="3:5">
      <c r="C131" s="218"/>
      <c r="D131" s="218"/>
      <c r="E131" s="218"/>
    </row>
    <row r="132" spans="3:5">
      <c r="C132" s="218"/>
      <c r="D132" s="218"/>
      <c r="E132" s="218"/>
    </row>
    <row r="133" spans="3:5">
      <c r="C133" s="218"/>
      <c r="D133" s="218"/>
      <c r="E133" s="218"/>
    </row>
    <row r="134" spans="3:5">
      <c r="C134" s="218"/>
      <c r="D134" s="218"/>
      <c r="E134" s="218"/>
    </row>
    <row r="135" spans="3:5">
      <c r="C135" s="218"/>
      <c r="D135" s="218"/>
      <c r="E135" s="218"/>
    </row>
    <row r="136" spans="3:5">
      <c r="C136" s="218"/>
      <c r="D136" s="218"/>
      <c r="E136" s="218"/>
    </row>
    <row r="137" spans="3:5">
      <c r="C137" s="218"/>
      <c r="D137" s="218"/>
      <c r="E137" s="218"/>
    </row>
    <row r="138" spans="3:5">
      <c r="C138" s="218"/>
      <c r="D138" s="218"/>
      <c r="E138" s="218"/>
    </row>
    <row r="139" spans="3:5">
      <c r="C139" s="218"/>
      <c r="D139" s="218"/>
      <c r="E139" s="218"/>
    </row>
    <row r="140" spans="3:5">
      <c r="C140" s="218"/>
      <c r="D140" s="218"/>
      <c r="E140" s="218"/>
    </row>
    <row r="141" spans="3:5">
      <c r="C141" s="218"/>
      <c r="D141" s="218"/>
      <c r="E141" s="218"/>
    </row>
    <row r="142" spans="3:5">
      <c r="C142" s="218"/>
      <c r="D142" s="218"/>
      <c r="E142" s="218"/>
    </row>
    <row r="143" spans="3:5">
      <c r="C143" s="218"/>
      <c r="D143" s="218"/>
      <c r="E143" s="218"/>
    </row>
    <row r="144" spans="3:5">
      <c r="C144" s="218"/>
      <c r="D144" s="218"/>
      <c r="E144" s="218"/>
    </row>
    <row r="145" spans="3:5">
      <c r="C145" s="218"/>
      <c r="D145" s="218"/>
      <c r="E145" s="218"/>
    </row>
    <row r="146" spans="3:5">
      <c r="C146" s="218"/>
      <c r="D146" s="218"/>
      <c r="E146" s="218"/>
    </row>
    <row r="147" spans="3:5">
      <c r="C147" s="218"/>
      <c r="D147" s="218"/>
      <c r="E147" s="218"/>
    </row>
    <row r="148" spans="3:5">
      <c r="C148" s="218"/>
      <c r="D148" s="218"/>
      <c r="E148" s="218"/>
    </row>
    <row r="149" spans="3:5">
      <c r="C149" s="218"/>
      <c r="D149" s="218"/>
      <c r="E149" s="218"/>
    </row>
    <row r="150" spans="3:5">
      <c r="C150" s="218"/>
      <c r="D150" s="218"/>
      <c r="E150" s="218"/>
    </row>
    <row r="151" spans="3:5">
      <c r="C151" s="218"/>
      <c r="D151" s="218"/>
      <c r="E151" s="218"/>
    </row>
    <row r="152" spans="3:5">
      <c r="C152" s="218"/>
      <c r="D152" s="218"/>
      <c r="E152" s="218"/>
    </row>
    <row r="153" spans="3:5">
      <c r="C153" s="218"/>
      <c r="D153" s="218"/>
      <c r="E153" s="218"/>
    </row>
    <row r="154" spans="3:5">
      <c r="C154" s="218"/>
      <c r="D154" s="218"/>
      <c r="E154" s="218"/>
    </row>
    <row r="155" spans="3:5">
      <c r="C155" s="218"/>
      <c r="D155" s="218"/>
      <c r="E155" s="218"/>
    </row>
    <row r="156" spans="3:5">
      <c r="C156" s="218"/>
      <c r="D156" s="218"/>
      <c r="E156" s="218"/>
    </row>
    <row r="157" spans="3:5">
      <c r="C157" s="218"/>
      <c r="D157" s="218"/>
      <c r="E157" s="218"/>
    </row>
    <row r="158" spans="3:5">
      <c r="C158" s="218"/>
      <c r="D158" s="218"/>
      <c r="E158" s="218"/>
    </row>
    <row r="159" spans="3:5">
      <c r="C159" s="218"/>
      <c r="D159" s="218"/>
      <c r="E159" s="218"/>
    </row>
    <row r="160" spans="3:5">
      <c r="C160" s="218"/>
      <c r="D160" s="218"/>
      <c r="E160" s="218"/>
    </row>
    <row r="161" spans="3:5">
      <c r="C161" s="218"/>
      <c r="D161" s="218"/>
      <c r="E161" s="218"/>
    </row>
    <row r="162" spans="3:5">
      <c r="C162" s="218"/>
      <c r="D162" s="218"/>
      <c r="E162" s="218"/>
    </row>
    <row r="163" spans="3:5">
      <c r="C163" s="218"/>
      <c r="D163" s="218"/>
      <c r="E163" s="218"/>
    </row>
    <row r="164" spans="3:5">
      <c r="C164" s="218"/>
      <c r="D164" s="218"/>
      <c r="E164" s="218"/>
    </row>
    <row r="165" spans="3:5">
      <c r="C165" s="218"/>
      <c r="D165" s="218"/>
      <c r="E165" s="218"/>
    </row>
    <row r="166" spans="3:5">
      <c r="C166" s="218"/>
      <c r="D166" s="218"/>
      <c r="E166" s="218"/>
    </row>
    <row r="167" spans="3:5">
      <c r="C167" s="218"/>
      <c r="D167" s="218"/>
      <c r="E167" s="218"/>
    </row>
    <row r="168" spans="3:5">
      <c r="C168" s="218"/>
      <c r="D168" s="218"/>
      <c r="E168" s="218"/>
    </row>
    <row r="169" spans="3:5">
      <c r="C169" s="218"/>
      <c r="D169" s="218"/>
      <c r="E169" s="218"/>
    </row>
    <row r="170" spans="3:5">
      <c r="C170" s="218"/>
      <c r="D170" s="218"/>
      <c r="E170" s="218"/>
    </row>
    <row r="171" spans="3:5">
      <c r="C171" s="218"/>
      <c r="D171" s="218"/>
      <c r="E171" s="218"/>
    </row>
    <row r="172" spans="3:5">
      <c r="C172" s="218"/>
      <c r="D172" s="218"/>
      <c r="E172" s="218"/>
    </row>
    <row r="173" spans="3:5">
      <c r="C173" s="218"/>
      <c r="D173" s="218"/>
      <c r="E173" s="218"/>
    </row>
    <row r="174" spans="3:5">
      <c r="C174" s="218"/>
      <c r="D174" s="218"/>
      <c r="E174" s="218"/>
    </row>
    <row r="175" spans="3:5">
      <c r="C175" s="218"/>
      <c r="D175" s="218"/>
      <c r="E175" s="218"/>
    </row>
    <row r="176" spans="3:5">
      <c r="C176" s="218"/>
      <c r="D176" s="218"/>
      <c r="E176" s="218"/>
    </row>
    <row r="177" spans="3:5">
      <c r="C177" s="218"/>
      <c r="D177" s="218"/>
      <c r="E177" s="218"/>
    </row>
    <row r="178" spans="3:5">
      <c r="C178" s="218"/>
      <c r="D178" s="218"/>
      <c r="E178" s="218"/>
    </row>
    <row r="179" spans="3:5">
      <c r="C179" s="218"/>
      <c r="D179" s="218"/>
      <c r="E179" s="218"/>
    </row>
    <row r="180" spans="3:5">
      <c r="C180" s="218"/>
      <c r="D180" s="218"/>
      <c r="E180" s="218"/>
    </row>
    <row r="181" spans="3:5">
      <c r="C181" s="218"/>
      <c r="D181" s="218"/>
      <c r="E181" s="218"/>
    </row>
    <row r="182" spans="3:5">
      <c r="C182" s="218"/>
      <c r="D182" s="218"/>
      <c r="E182" s="218"/>
    </row>
    <row r="183" spans="3:5">
      <c r="C183" s="218"/>
      <c r="D183" s="218"/>
      <c r="E183" s="218"/>
    </row>
    <row r="184" spans="3:5">
      <c r="C184" s="218"/>
      <c r="D184" s="218"/>
      <c r="E184" s="218"/>
    </row>
    <row r="185" spans="3:5">
      <c r="C185" s="218"/>
      <c r="D185" s="218"/>
      <c r="E185" s="218"/>
    </row>
    <row r="186" spans="3:5">
      <c r="C186" s="218"/>
      <c r="D186" s="218"/>
      <c r="E186" s="218"/>
    </row>
    <row r="187" spans="3:5">
      <c r="C187" s="218"/>
      <c r="D187" s="218"/>
      <c r="E187" s="218"/>
    </row>
    <row r="188" spans="3:5">
      <c r="C188" s="218"/>
      <c r="D188" s="218"/>
      <c r="E188" s="218"/>
    </row>
    <row r="189" spans="3:5">
      <c r="C189" s="218"/>
      <c r="D189" s="218"/>
      <c r="E189" s="218"/>
    </row>
    <row r="190" spans="3:5">
      <c r="C190" s="218"/>
      <c r="D190" s="218"/>
      <c r="E190" s="218"/>
    </row>
    <row r="191" spans="3:5">
      <c r="C191" s="218"/>
      <c r="D191" s="218"/>
      <c r="E191" s="218"/>
    </row>
    <row r="192" spans="3:5">
      <c r="C192" s="218"/>
      <c r="D192" s="218"/>
      <c r="E192" s="218"/>
    </row>
    <row r="193" spans="3:5">
      <c r="C193" s="218"/>
      <c r="D193" s="218"/>
      <c r="E193" s="218"/>
    </row>
    <row r="194" spans="3:5">
      <c r="C194" s="218"/>
      <c r="D194" s="218"/>
      <c r="E194" s="218"/>
    </row>
    <row r="195" spans="3:5">
      <c r="C195" s="218"/>
      <c r="D195" s="218"/>
      <c r="E195" s="218"/>
    </row>
    <row r="196" spans="3:5">
      <c r="C196" s="218"/>
      <c r="D196" s="218"/>
      <c r="E196" s="218"/>
    </row>
    <row r="197" spans="3:5">
      <c r="C197" s="218"/>
      <c r="D197" s="218"/>
      <c r="E197" s="218"/>
    </row>
    <row r="198" spans="3:5">
      <c r="C198" s="218"/>
      <c r="D198" s="218"/>
      <c r="E198" s="218"/>
    </row>
    <row r="199" spans="3:5">
      <c r="C199" s="218"/>
      <c r="D199" s="218"/>
      <c r="E199" s="218"/>
    </row>
    <row r="200" spans="3:5">
      <c r="C200" s="218"/>
      <c r="D200" s="218"/>
      <c r="E200" s="218"/>
    </row>
    <row r="201" spans="3:5">
      <c r="C201" s="218"/>
      <c r="D201" s="218"/>
      <c r="E201" s="218"/>
    </row>
    <row r="202" spans="3:5">
      <c r="C202" s="218"/>
      <c r="D202" s="218"/>
      <c r="E202" s="218"/>
    </row>
    <row r="203" spans="3:5">
      <c r="C203" s="218"/>
      <c r="D203" s="218"/>
      <c r="E203" s="218"/>
    </row>
    <row r="204" spans="3:5">
      <c r="C204" s="218"/>
      <c r="D204" s="218"/>
      <c r="E204" s="218"/>
    </row>
    <row r="205" spans="3:5">
      <c r="C205" s="218"/>
      <c r="D205" s="218"/>
      <c r="E205" s="218"/>
    </row>
    <row r="206" spans="3:5">
      <c r="C206" s="218"/>
      <c r="D206" s="218"/>
      <c r="E206" s="218"/>
    </row>
    <row r="207" spans="3:5">
      <c r="C207" s="218"/>
      <c r="D207" s="218"/>
      <c r="E207" s="218"/>
    </row>
    <row r="208" spans="3:5">
      <c r="C208" s="218"/>
      <c r="D208" s="218"/>
      <c r="E208" s="218"/>
    </row>
    <row r="209" spans="3:5">
      <c r="C209" s="218"/>
      <c r="D209" s="218"/>
      <c r="E209" s="218"/>
    </row>
    <row r="210" spans="3:5">
      <c r="C210" s="218"/>
      <c r="D210" s="218"/>
      <c r="E210" s="218"/>
    </row>
    <row r="211" spans="3:5">
      <c r="C211" s="218"/>
      <c r="D211" s="218"/>
      <c r="E211" s="218"/>
    </row>
    <row r="212" spans="3:5">
      <c r="C212" s="218"/>
      <c r="D212" s="218"/>
      <c r="E212" s="218"/>
    </row>
    <row r="213" spans="3:5">
      <c r="C213" s="218"/>
      <c r="D213" s="218"/>
      <c r="E213" s="218"/>
    </row>
    <row r="214" spans="3:5">
      <c r="C214" s="218"/>
      <c r="D214" s="218"/>
      <c r="E214" s="218"/>
    </row>
    <row r="215" spans="3:5">
      <c r="C215" s="218"/>
      <c r="D215" s="218"/>
      <c r="E215" s="218"/>
    </row>
    <row r="216" spans="3:5">
      <c r="C216" s="218"/>
      <c r="D216" s="218"/>
      <c r="E216" s="218"/>
    </row>
    <row r="217" spans="3:5">
      <c r="C217" s="218"/>
      <c r="D217" s="218"/>
      <c r="E217" s="218"/>
    </row>
    <row r="218" spans="3:5">
      <c r="C218" s="218"/>
      <c r="D218" s="218"/>
      <c r="E218" s="218"/>
    </row>
    <row r="219" spans="3:5">
      <c r="C219" s="218"/>
      <c r="D219" s="218"/>
      <c r="E219" s="218"/>
    </row>
    <row r="220" spans="3:5">
      <c r="C220" s="218"/>
      <c r="D220" s="218"/>
      <c r="E220" s="218"/>
    </row>
    <row r="221" spans="3:5">
      <c r="C221" s="218"/>
      <c r="D221" s="218"/>
      <c r="E221" s="218"/>
    </row>
    <row r="222" spans="3:5">
      <c r="C222" s="218"/>
      <c r="D222" s="218"/>
      <c r="E222" s="218"/>
    </row>
    <row r="223" spans="3:5">
      <c r="C223" s="218"/>
      <c r="D223" s="218"/>
      <c r="E223" s="218"/>
    </row>
    <row r="224" spans="3:5">
      <c r="C224" s="218"/>
      <c r="D224" s="218"/>
      <c r="E224" s="218"/>
    </row>
    <row r="225" spans="3:5">
      <c r="C225" s="218"/>
      <c r="D225" s="218"/>
      <c r="E225" s="218"/>
    </row>
    <row r="226" spans="3:5">
      <c r="C226" s="218"/>
      <c r="D226" s="218"/>
      <c r="E226" s="218"/>
    </row>
    <row r="227" spans="3:5">
      <c r="C227" s="218"/>
      <c r="D227" s="218"/>
      <c r="E227" s="218"/>
    </row>
    <row r="228" spans="3:5">
      <c r="C228" s="218"/>
      <c r="D228" s="218"/>
      <c r="E228" s="218"/>
    </row>
    <row r="229" spans="3:5">
      <c r="C229" s="218"/>
      <c r="D229" s="218"/>
      <c r="E229" s="218"/>
    </row>
    <row r="230" spans="3:5">
      <c r="C230" s="218"/>
      <c r="D230" s="218"/>
      <c r="E230" s="218"/>
    </row>
    <row r="231" spans="3:5">
      <c r="C231" s="218"/>
      <c r="D231" s="218"/>
      <c r="E231" s="218"/>
    </row>
    <row r="232" spans="3:5">
      <c r="C232" s="218"/>
      <c r="D232" s="218"/>
      <c r="E232" s="218"/>
    </row>
    <row r="233" spans="3:5">
      <c r="C233" s="218"/>
      <c r="D233" s="218"/>
      <c r="E233" s="218"/>
    </row>
    <row r="234" spans="3:5">
      <c r="C234" s="218"/>
      <c r="D234" s="218"/>
      <c r="E234" s="218"/>
    </row>
  </sheetData>
  <mergeCells count="53">
    <mergeCell ref="A39:B39"/>
    <mergeCell ref="E3:F3"/>
    <mergeCell ref="B63:F63"/>
    <mergeCell ref="A1:F1"/>
    <mergeCell ref="A3:B3"/>
    <mergeCell ref="A4:B4"/>
    <mergeCell ref="A5:B5"/>
    <mergeCell ref="A6:B6"/>
    <mergeCell ref="A13:B13"/>
    <mergeCell ref="A15:B15"/>
    <mergeCell ref="A16:B16"/>
    <mergeCell ref="A17:B17"/>
    <mergeCell ref="A18:B18"/>
    <mergeCell ref="A19:B19"/>
    <mergeCell ref="A20:B20"/>
    <mergeCell ref="A21:B21"/>
    <mergeCell ref="A22:B22"/>
    <mergeCell ref="A23:B23"/>
    <mergeCell ref="A24:B24"/>
    <mergeCell ref="A25:B25"/>
    <mergeCell ref="A34:B34"/>
    <mergeCell ref="A35:B35"/>
    <mergeCell ref="A26:B26"/>
    <mergeCell ref="A36:B36"/>
    <mergeCell ref="A38:B38"/>
    <mergeCell ref="A27:B27"/>
    <mergeCell ref="A28:B28"/>
    <mergeCell ref="A30:B30"/>
    <mergeCell ref="A32:B32"/>
    <mergeCell ref="A33:B33"/>
    <mergeCell ref="A37:B37"/>
    <mergeCell ref="A40:B40"/>
    <mergeCell ref="A41:B41"/>
    <mergeCell ref="A42:B42"/>
    <mergeCell ref="A60:F60"/>
    <mergeCell ref="A58:B58"/>
    <mergeCell ref="A57:B57"/>
    <mergeCell ref="A56:B56"/>
    <mergeCell ref="A54:B54"/>
    <mergeCell ref="A52:B52"/>
    <mergeCell ref="A51:B51"/>
    <mergeCell ref="A44:B44"/>
    <mergeCell ref="A46:B46"/>
    <mergeCell ref="A47:B47"/>
    <mergeCell ref="A48:B48"/>
    <mergeCell ref="A49:B49"/>
    <mergeCell ref="A50:B50"/>
    <mergeCell ref="A12:B12"/>
    <mergeCell ref="A10:B10"/>
    <mergeCell ref="A9:B9"/>
    <mergeCell ref="A8:B8"/>
    <mergeCell ref="A7:B7"/>
    <mergeCell ref="A11:B11"/>
  </mergeCells>
  <phoneticPr fontId="0" type="noConversion"/>
  <hyperlinks>
    <hyperlink ref="F7" r:id="rId1" location="8-poistot-ja-arvonalentumiset" display="http://www.wartsilareports.com/fi-FI/2018/ar/taloudellinen-katsaus/tilinpaatos/konsernitilinpaatos/konsernitilinpaatoksen-liitetiedot/ - 8-poistot-ja-arvonalentumiset" xr:uid="{50343917-9BF7-4317-A338-BCCC6D00F0D8}"/>
    <hyperlink ref="F8" r:id="rId2" location="10-rahoitustuotot-ja-kulut" display="http://www.wartsilareports.com/fi-FI/2018/ar/taloudellinen-katsaus/tilinpaatos/konsernitilinpaatos/konsernitilinpaatoksen-liitetiedot/ - 10-rahoitustuotot-ja-kulut" xr:uid="{63397DE6-C8B6-42F7-BEA3-5720082F50F5}"/>
    <hyperlink ref="F10" r:id="rId3" location="15-sijoitukset-osakkuus-ja-yhteisyrityksiin" display="http://www.wartsilareports.com/fi-FI/2018/ar/taloudellinen-katsaus/tilinpaatos/konsernitilinpaatos/konsernitilinpaatoksen-liitetiedot/ - 15-sijoitukset-osakkuus-ja-yhteisyrityksiin" xr:uid="{76F3EA19-3552-45AC-8B34-68039017577A}"/>
    <hyperlink ref="F17" r:id="rId4" location="17-vaihto-omaisuus" display="http://www.wartsilareports.com/fi-FI/2018/ar/taloudellinen-katsaus/tilinpaatos/konsernitilinpaatos/konsernitilinpaatoksen-liitetiedot/ - 17-vaihto-omaisuus" xr:uid="{D09F8A89-86AD-4EEB-9C13-0C040DB21F08}"/>
    <hyperlink ref="F34" r:id="rId5" location="15-sijoitukset-osakkuus-ja-yhteisyrityksiin" display="http://www.wartsilareports.com/fi-FI/2018/ar/taloudellinen-katsaus/tilinpaatos/konsernitilinpaatos/konsernitilinpaatoksen-liitetiedot/ - 15-sijoitukset-osakkuus-ja-yhteisyrityksiin" xr:uid="{10484959-6F99-456B-8FF1-AF6BEFFD152A}"/>
    <hyperlink ref="F48" r:id="rId6" location="26-rahoitusvelat" display="http://www.wartsilareports.com/fi-FI/2018/ar/taloudellinen-katsaus/tilinpaatos/konsernitilinpaatos/konsernitilinpaatoksen-liitetiedot/ - 26-rahoitusvelat" xr:uid="{7DE9C1C6-FDC4-4A2D-96D7-B1C352336C33}"/>
    <hyperlink ref="E36" r:id="rId7" location="13-aineettomat-hyodykkeet" display="http://www.wartsilareports.com/fi-FI/2018/ar/taloudellinen-katsaus/tilinpaatos/konsernitilinpaatos/konsernitilinpaatoksen-liitetiedot/ - 13-aineettomat-hyodykkeet" xr:uid="{BD26E4D5-6C84-4AB1-ACE9-BF1B238A202E}"/>
    <hyperlink ref="F36" r:id="rId8" location="14-aineelliset-hyodykkeet" display="http://www.wartsilareports.com/fi-FI/2018/ar/taloudellinen-katsaus/tilinpaatos/konsernitilinpaatos/konsernitilinpaatoksen-liitetiedot/ - 14-aineelliset-hyodykkeet" xr:uid="{5150CBD9-93B8-4228-86E4-687F40BE75F1}"/>
    <hyperlink ref="F35" r:id="rId9" location="16-rahoitusvarat-ja-velat-arvostusryhmittain" display="http://www.wartsilareports.com/fi-FI/2018/ar/taloudellinen-katsaus/tilinpaatos/konsernitilinpaatos/konsernitilinpaatoksen-liitetiedot/ - 16-rahoitusvarat-ja-velat-arvostusryhmittain" xr:uid="{9B0968D3-4505-4E16-B2FC-C3B0FD52CB94}"/>
    <hyperlink ref="F40" r:id="rId10" location="16-rahoitusvarat-ja-velat-arvostusryhmittain" display="http://www.wartsilareports.com/fi-FI/2018/ar/taloudellinen-katsaus/tilinpaatos/konsernitilinpaatos/konsernitilinpaatoksen-liitetiedot/ - 16-rahoitusvarat-ja-velat-arvostusryhmittain" xr:uid="{15F92AD8-0F5B-4E22-8BDE-50C2546D84E5}"/>
    <hyperlink ref="F11" r:id="rId11" location="11-tuloverot" display="http://www.wartsilareports.com/fi-FI/2018/ar/taloudellinen-katsaus/tilinpaatos/konsernitilinpaatos/konsernitilinpaatoksen-liitetiedot/ - 11-tuloverot" xr:uid="{174D366C-3C6F-4DE2-A104-CD043D4AD940}"/>
    <hyperlink ref="F39" r:id="rId12" location="3-yritysmyynnit" display="http://www.wartsilareports.com/fi-FI/2018/ar/taloudellinen-katsaus/tilinpaatos/konsernitilinpaatos/konsernitilinpaatoksen-liitetiedot/ - 3-yritysmyynnit" xr:uid="{2985A1C4-56FA-4BF0-BD53-E19918EF36C7}"/>
    <hyperlink ref="F38" r:id="rId13" location="15-sijoitukset-osakkuus-ja-yhteisyrityksiin" display="http://www.wartsilareports.com/fi-FI/2018/ar/taloudellinen-katsaus/tilinpaatos/konsernitilinpaatos/konsernitilinpaatoksen-liitetiedot/ - 15-sijoitukset-osakkuus-ja-yhteisyrityksiin" xr:uid="{5ED21A67-A6FB-4322-80E2-5121A9756280}"/>
    <hyperlink ref="F33" r:id="rId14" location="2-yrityshankinnat" display="http://www.wartsilareports.com/fi-FI/2018/ar/taloudellinen-katsaus/tilinpaatos/konsernitilinpaatos/konsernitilinpaatoksen-liitetiedot/ - 2-yrityshankinnat" xr:uid="{B2320F29-C7A8-4FE2-B4D0-A959316397CA}"/>
  </hyperlinks>
  <pageMargins left="0.75" right="0.75" top="1" bottom="1" header="0.5" footer="0.5"/>
  <pageSetup scale="85" orientation="portrait" r:id="rId15"/>
  <headerFooter alignWithMargins="0"/>
  <customProperties>
    <customPr name="SheetOptions" r:id="rId16"/>
  </customPropertie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41"/>
  <sheetViews>
    <sheetView zoomScaleNormal="100" workbookViewId="0">
      <selection sqref="A1:K1"/>
    </sheetView>
  </sheetViews>
  <sheetFormatPr defaultColWidth="8.7109375" defaultRowHeight="10.199999999999999"/>
  <cols>
    <col min="1" max="1" width="2.42578125" style="225" customWidth="1"/>
    <col min="2" max="2" width="36.7109375" style="225" customWidth="1"/>
    <col min="3" max="3" width="8.28515625" style="232" customWidth="1"/>
    <col min="4" max="8" width="10.7109375" style="232" customWidth="1"/>
    <col min="9" max="9" width="10" style="232" customWidth="1"/>
    <col min="10" max="10" width="10.7109375" style="232" customWidth="1"/>
    <col min="11" max="11" width="8.28515625" style="232" customWidth="1"/>
    <col min="12" max="17" width="3.7109375" style="205" customWidth="1"/>
    <col min="18" max="16384" width="8.7109375" style="243"/>
  </cols>
  <sheetData>
    <row r="1" spans="1:17" ht="15.75" customHeight="1">
      <c r="A1" s="1151" t="s">
        <v>372</v>
      </c>
      <c r="B1" s="1144"/>
      <c r="C1" s="1144"/>
      <c r="D1" s="1144"/>
      <c r="E1" s="1144"/>
      <c r="F1" s="1144"/>
      <c r="G1" s="1144"/>
      <c r="H1" s="1144"/>
      <c r="I1" s="1144"/>
      <c r="J1" s="1144"/>
      <c r="K1" s="1144"/>
    </row>
    <row r="2" spans="1:17" ht="11.25" customHeight="1">
      <c r="A2" s="255"/>
      <c r="B2" s="256"/>
      <c r="C2" s="237"/>
      <c r="D2" s="257"/>
      <c r="E2" s="257"/>
      <c r="F2" s="257"/>
      <c r="G2" s="257"/>
      <c r="H2" s="257"/>
      <c r="I2" s="258"/>
      <c r="J2" s="257"/>
      <c r="K2" s="244"/>
    </row>
    <row r="3" spans="1:17" ht="51" customHeight="1">
      <c r="A3" s="606"/>
      <c r="B3" s="606"/>
      <c r="C3" s="1180" t="s">
        <v>776</v>
      </c>
      <c r="D3" s="1181"/>
      <c r="E3" s="1181"/>
      <c r="F3" s="1181"/>
      <c r="G3" s="1181"/>
      <c r="H3" s="1181"/>
      <c r="I3" s="1181"/>
      <c r="J3" s="1006" t="s">
        <v>1295</v>
      </c>
      <c r="K3" s="607" t="s">
        <v>32</v>
      </c>
    </row>
    <row r="4" spans="1:17" ht="78" customHeight="1">
      <c r="A4" s="1182" t="s">
        <v>740</v>
      </c>
      <c r="B4" s="1182"/>
      <c r="C4" s="607" t="s">
        <v>29</v>
      </c>
      <c r="D4" s="607" t="s">
        <v>238</v>
      </c>
      <c r="E4" s="902" t="s">
        <v>30</v>
      </c>
      <c r="F4" s="607" t="s">
        <v>31</v>
      </c>
      <c r="G4" s="776" t="s">
        <v>1192</v>
      </c>
      <c r="H4" s="607" t="s">
        <v>1294</v>
      </c>
      <c r="I4" s="607" t="s">
        <v>620</v>
      </c>
      <c r="J4" s="608"/>
      <c r="K4" s="608"/>
    </row>
    <row r="5" spans="1:17" ht="12" customHeight="1">
      <c r="A5" s="1178" t="s">
        <v>1178</v>
      </c>
      <c r="B5" s="1178"/>
      <c r="C5" s="438">
        <v>336</v>
      </c>
      <c r="D5" s="438">
        <v>61</v>
      </c>
      <c r="E5" s="438">
        <v>-57</v>
      </c>
      <c r="F5" s="438">
        <v>-39</v>
      </c>
      <c r="G5" s="438">
        <v>-45</v>
      </c>
      <c r="H5" s="438">
        <v>2032</v>
      </c>
      <c r="I5" s="438">
        <v>2288</v>
      </c>
      <c r="J5" s="438">
        <v>34</v>
      </c>
      <c r="K5" s="438">
        <v>2321</v>
      </c>
      <c r="M5" s="239"/>
      <c r="N5" s="239"/>
    </row>
    <row r="6" spans="1:17" ht="12" customHeight="1">
      <c r="A6" s="1125" t="s">
        <v>1278</v>
      </c>
      <c r="B6" s="1125"/>
      <c r="C6" s="502"/>
      <c r="D6" s="502"/>
      <c r="E6" s="502"/>
      <c r="F6" s="502"/>
      <c r="G6" s="502"/>
      <c r="H6" s="502">
        <v>-3</v>
      </c>
      <c r="I6" s="502">
        <v>-3</v>
      </c>
      <c r="J6" s="502"/>
      <c r="K6" s="502">
        <v>-3</v>
      </c>
      <c r="L6" s="976"/>
      <c r="M6" s="239"/>
      <c r="N6" s="239"/>
      <c r="O6" s="976"/>
      <c r="P6" s="976"/>
      <c r="Q6" s="976"/>
    </row>
    <row r="7" spans="1:17" ht="12" customHeight="1">
      <c r="A7" s="1118" t="s">
        <v>1362</v>
      </c>
      <c r="B7" s="1118"/>
      <c r="C7" s="480"/>
      <c r="D7" s="480"/>
      <c r="E7" s="480"/>
      <c r="F7" s="480"/>
      <c r="G7" s="480"/>
      <c r="H7" s="480">
        <v>-13</v>
      </c>
      <c r="I7" s="480">
        <v>-13</v>
      </c>
      <c r="J7" s="480"/>
      <c r="K7" s="480">
        <v>-13</v>
      </c>
      <c r="L7" s="976"/>
      <c r="M7" s="239"/>
      <c r="N7" s="239"/>
      <c r="O7" s="976"/>
      <c r="P7" s="976"/>
      <c r="Q7" s="976"/>
    </row>
    <row r="8" spans="1:17" ht="12" customHeight="1">
      <c r="A8" s="1120" t="s">
        <v>1232</v>
      </c>
      <c r="B8" s="1120"/>
      <c r="C8" s="427">
        <v>336</v>
      </c>
      <c r="D8" s="427">
        <v>61</v>
      </c>
      <c r="E8" s="427">
        <v>-57</v>
      </c>
      <c r="F8" s="427">
        <v>-39</v>
      </c>
      <c r="G8" s="427">
        <v>-45</v>
      </c>
      <c r="H8" s="427">
        <v>2016</v>
      </c>
      <c r="I8" s="427">
        <v>2272</v>
      </c>
      <c r="J8" s="427">
        <v>34</v>
      </c>
      <c r="K8" s="427">
        <v>2305</v>
      </c>
      <c r="L8" s="976"/>
      <c r="M8" s="239"/>
      <c r="N8" s="239"/>
      <c r="O8" s="976"/>
      <c r="P8" s="976"/>
      <c r="Q8" s="976"/>
    </row>
    <row r="9" spans="1:17" ht="12" customHeight="1">
      <c r="A9" s="1121" t="s">
        <v>375</v>
      </c>
      <c r="B9" s="1121"/>
      <c r="C9" s="423"/>
      <c r="D9" s="423"/>
      <c r="E9" s="424">
        <v>-74</v>
      </c>
      <c r="F9" s="423"/>
      <c r="G9" s="423"/>
      <c r="H9" s="423"/>
      <c r="I9" s="424">
        <v>-74</v>
      </c>
      <c r="J9" s="424">
        <v>-2</v>
      </c>
      <c r="K9" s="424">
        <v>-76</v>
      </c>
      <c r="M9" s="239"/>
      <c r="N9" s="239"/>
    </row>
    <row r="10" spans="1:17" ht="12" customHeight="1">
      <c r="A10" s="1121" t="s">
        <v>461</v>
      </c>
      <c r="B10" s="1121" t="s">
        <v>462</v>
      </c>
      <c r="C10" s="424"/>
      <c r="D10" s="424"/>
      <c r="E10" s="424"/>
      <c r="F10" s="424"/>
      <c r="G10" s="424"/>
      <c r="H10" s="424"/>
      <c r="I10" s="424"/>
      <c r="J10" s="424"/>
      <c r="K10" s="424"/>
    </row>
    <row r="11" spans="1:17" ht="21.75" customHeight="1">
      <c r="A11" s="1173" t="s">
        <v>849</v>
      </c>
      <c r="B11" s="1173"/>
      <c r="C11" s="424"/>
      <c r="D11" s="424"/>
      <c r="E11" s="424"/>
      <c r="F11" s="424">
        <v>28</v>
      </c>
      <c r="G11" s="424"/>
      <c r="H11" s="424"/>
      <c r="I11" s="424">
        <v>28</v>
      </c>
      <c r="J11" s="424"/>
      <c r="K11" s="424">
        <v>28</v>
      </c>
    </row>
    <row r="12" spans="1:17" ht="10.95" customHeight="1">
      <c r="A12" s="1118" t="s">
        <v>730</v>
      </c>
      <c r="B12" s="1118" t="s">
        <v>729</v>
      </c>
      <c r="C12" s="480"/>
      <c r="D12" s="480"/>
      <c r="E12" s="480"/>
      <c r="F12" s="480"/>
      <c r="G12" s="480">
        <v>7</v>
      </c>
      <c r="H12" s="480"/>
      <c r="I12" s="480">
        <v>7</v>
      </c>
      <c r="J12" s="480"/>
      <c r="K12" s="480">
        <v>7</v>
      </c>
    </row>
    <row r="13" spans="1:17" ht="12" customHeight="1">
      <c r="A13" s="1178" t="s">
        <v>1643</v>
      </c>
      <c r="B13" s="1178"/>
      <c r="C13" s="438"/>
      <c r="D13" s="438"/>
      <c r="E13" s="438">
        <v>-74</v>
      </c>
      <c r="F13" s="438">
        <v>28</v>
      </c>
      <c r="G13" s="438">
        <v>7</v>
      </c>
      <c r="H13" s="438"/>
      <c r="I13" s="438">
        <v>-39</v>
      </c>
      <c r="J13" s="438">
        <v>-2</v>
      </c>
      <c r="K13" s="438">
        <v>-41</v>
      </c>
    </row>
    <row r="14" spans="1:17" ht="12" customHeight="1">
      <c r="A14" s="1179" t="s">
        <v>617</v>
      </c>
      <c r="B14" s="1179"/>
      <c r="C14" s="428"/>
      <c r="D14" s="428"/>
      <c r="E14" s="428"/>
      <c r="F14" s="428"/>
      <c r="G14" s="428"/>
      <c r="H14" s="428">
        <v>375</v>
      </c>
      <c r="I14" s="428">
        <v>375</v>
      </c>
      <c r="J14" s="428">
        <v>-1</v>
      </c>
      <c r="K14" s="428">
        <v>374</v>
      </c>
    </row>
    <row r="15" spans="1:17" ht="11.25" customHeight="1">
      <c r="A15" s="1178" t="s">
        <v>1545</v>
      </c>
      <c r="B15" s="1183" t="s">
        <v>1544</v>
      </c>
      <c r="C15" s="438"/>
      <c r="D15" s="438"/>
      <c r="E15" s="438">
        <v>-74</v>
      </c>
      <c r="F15" s="438">
        <v>28</v>
      </c>
      <c r="G15" s="438">
        <v>7</v>
      </c>
      <c r="H15" s="438">
        <v>376</v>
      </c>
      <c r="I15" s="438">
        <v>336</v>
      </c>
      <c r="J15" s="438">
        <v>-3</v>
      </c>
      <c r="K15" s="438">
        <v>333</v>
      </c>
    </row>
    <row r="16" spans="1:17" ht="9.6" customHeight="1">
      <c r="A16" s="1121" t="s">
        <v>985</v>
      </c>
      <c r="B16" s="1121" t="s">
        <v>984</v>
      </c>
      <c r="C16" s="424"/>
      <c r="D16" s="424"/>
      <c r="E16" s="424"/>
      <c r="F16" s="424"/>
      <c r="G16" s="424"/>
      <c r="H16" s="424"/>
      <c r="I16" s="424"/>
      <c r="J16" s="424"/>
      <c r="K16" s="424"/>
    </row>
    <row r="17" spans="1:17" ht="11.25" customHeight="1">
      <c r="A17" s="1142" t="s">
        <v>1115</v>
      </c>
      <c r="B17" s="1142"/>
      <c r="C17" s="428"/>
      <c r="D17" s="428"/>
      <c r="E17" s="428"/>
      <c r="F17" s="428"/>
      <c r="G17" s="428"/>
      <c r="H17" s="428">
        <v>-256</v>
      </c>
      <c r="I17" s="428">
        <v>-256</v>
      </c>
      <c r="J17" s="428">
        <v>-6</v>
      </c>
      <c r="K17" s="428">
        <v>-263</v>
      </c>
    </row>
    <row r="18" spans="1:17" ht="12" customHeight="1">
      <c r="A18" s="1177" t="s">
        <v>1233</v>
      </c>
      <c r="B18" s="1177"/>
      <c r="C18" s="526">
        <v>336</v>
      </c>
      <c r="D18" s="526">
        <v>61</v>
      </c>
      <c r="E18" s="526">
        <v>-132</v>
      </c>
      <c r="F18" s="526">
        <v>-10</v>
      </c>
      <c r="G18" s="526">
        <v>-38</v>
      </c>
      <c r="H18" s="526">
        <v>2135</v>
      </c>
      <c r="I18" s="526">
        <v>2352</v>
      </c>
      <c r="J18" s="526">
        <v>24</v>
      </c>
      <c r="K18" s="526">
        <v>2376</v>
      </c>
    </row>
    <row r="19" spans="1:17">
      <c r="A19" s="609"/>
      <c r="B19" s="227"/>
      <c r="C19" s="259"/>
      <c r="D19" s="259"/>
      <c r="E19" s="259"/>
      <c r="F19" s="259"/>
      <c r="G19" s="259"/>
      <c r="H19" s="259"/>
      <c r="I19" s="259"/>
      <c r="J19" s="259"/>
      <c r="K19" s="260"/>
    </row>
    <row r="20" spans="1:17" s="251" customFormat="1" ht="51" customHeight="1">
      <c r="A20" s="606"/>
      <c r="B20" s="606"/>
      <c r="C20" s="1184" t="s">
        <v>776</v>
      </c>
      <c r="D20" s="1185"/>
      <c r="E20" s="1185"/>
      <c r="F20" s="1185"/>
      <c r="G20" s="1185"/>
      <c r="H20" s="1185"/>
      <c r="I20" s="1185"/>
      <c r="J20" s="643" t="s">
        <v>1295</v>
      </c>
      <c r="K20" s="643" t="s">
        <v>32</v>
      </c>
      <c r="L20" s="205"/>
      <c r="M20" s="205"/>
      <c r="N20" s="205"/>
      <c r="O20" s="205"/>
      <c r="P20" s="205"/>
      <c r="Q20" s="205"/>
    </row>
    <row r="21" spans="1:17" ht="78" customHeight="1">
      <c r="A21" s="1182" t="s">
        <v>740</v>
      </c>
      <c r="B21" s="1182"/>
      <c r="C21" s="643" t="s">
        <v>29</v>
      </c>
      <c r="D21" s="643" t="s">
        <v>238</v>
      </c>
      <c r="E21" s="901" t="s">
        <v>30</v>
      </c>
      <c r="F21" s="643" t="s">
        <v>31</v>
      </c>
      <c r="G21" s="643" t="s">
        <v>1192</v>
      </c>
      <c r="H21" s="643" t="s">
        <v>1294</v>
      </c>
      <c r="I21" s="643" t="s">
        <v>620</v>
      </c>
      <c r="J21" s="644"/>
      <c r="K21" s="644"/>
    </row>
    <row r="22" spans="1:17" ht="11.25" customHeight="1">
      <c r="A22" s="1178" t="s">
        <v>1364</v>
      </c>
      <c r="B22" s="1178"/>
      <c r="C22" s="645">
        <v>336</v>
      </c>
      <c r="D22" s="645">
        <v>61</v>
      </c>
      <c r="E22" s="645">
        <v>-132</v>
      </c>
      <c r="F22" s="645">
        <v>-10</v>
      </c>
      <c r="G22" s="645">
        <v>-38</v>
      </c>
      <c r="H22" s="645">
        <v>2135</v>
      </c>
      <c r="I22" s="645">
        <v>2352</v>
      </c>
      <c r="J22" s="645">
        <v>24</v>
      </c>
      <c r="K22" s="645">
        <v>2376</v>
      </c>
    </row>
    <row r="23" spans="1:17">
      <c r="A23" s="1121" t="s">
        <v>375</v>
      </c>
      <c r="B23" s="1121"/>
      <c r="C23" s="621"/>
      <c r="D23" s="621"/>
      <c r="E23" s="621">
        <v>-24</v>
      </c>
      <c r="F23" s="621"/>
      <c r="G23" s="621"/>
      <c r="H23" s="621"/>
      <c r="I23" s="621">
        <v>-24</v>
      </c>
      <c r="J23" s="621">
        <v>-1</v>
      </c>
      <c r="K23" s="621">
        <v>-25</v>
      </c>
    </row>
    <row r="24" spans="1:17" ht="11.25" customHeight="1">
      <c r="A24" s="1121" t="s">
        <v>461</v>
      </c>
      <c r="B24" s="1121"/>
      <c r="C24" s="621"/>
      <c r="D24" s="621"/>
      <c r="E24" s="621"/>
      <c r="F24" s="621"/>
      <c r="G24" s="621"/>
      <c r="H24" s="621"/>
      <c r="I24" s="621"/>
      <c r="J24" s="621"/>
      <c r="K24" s="621"/>
    </row>
    <row r="25" spans="1:17" ht="11.25" customHeight="1">
      <c r="A25" s="1173" t="s">
        <v>908</v>
      </c>
      <c r="B25" s="1173"/>
      <c r="C25" s="621"/>
      <c r="D25" s="621"/>
      <c r="E25" s="621"/>
      <c r="F25" s="621">
        <v>-14</v>
      </c>
      <c r="G25" s="621"/>
      <c r="H25" s="621"/>
      <c r="I25" s="621">
        <v>-14</v>
      </c>
      <c r="J25" s="621"/>
      <c r="K25" s="621">
        <v>-14</v>
      </c>
    </row>
    <row r="26" spans="1:17" ht="22.5" customHeight="1">
      <c r="A26" s="1173" t="s">
        <v>849</v>
      </c>
      <c r="B26" s="1173"/>
      <c r="C26" s="621"/>
      <c r="D26" s="621"/>
      <c r="E26" s="621"/>
      <c r="F26" s="621">
        <v>-6</v>
      </c>
      <c r="G26" s="621"/>
      <c r="H26" s="621"/>
      <c r="I26" s="621">
        <v>-6</v>
      </c>
      <c r="J26" s="621"/>
      <c r="K26" s="621">
        <v>-6</v>
      </c>
    </row>
    <row r="27" spans="1:17" ht="11.25" customHeight="1">
      <c r="A27" s="1121" t="s">
        <v>730</v>
      </c>
      <c r="B27" s="1121" t="s">
        <v>730</v>
      </c>
      <c r="C27" s="621"/>
      <c r="D27" s="621"/>
      <c r="E27" s="621"/>
      <c r="F27" s="621"/>
      <c r="G27" s="621">
        <v>-3</v>
      </c>
      <c r="H27" s="621"/>
      <c r="I27" s="621">
        <v>-3</v>
      </c>
      <c r="J27" s="621"/>
      <c r="K27" s="621">
        <v>-3</v>
      </c>
    </row>
    <row r="28" spans="1:17">
      <c r="A28" s="1118" t="s">
        <v>698</v>
      </c>
      <c r="B28" s="1118"/>
      <c r="C28" s="625"/>
      <c r="D28" s="625"/>
      <c r="E28" s="625"/>
      <c r="F28" s="625"/>
      <c r="G28" s="625">
        <v>3</v>
      </c>
      <c r="H28" s="625">
        <v>-3</v>
      </c>
      <c r="I28" s="625"/>
      <c r="J28" s="625"/>
      <c r="K28" s="625"/>
    </row>
    <row r="29" spans="1:17" ht="11.25" customHeight="1">
      <c r="A29" s="1178" t="s">
        <v>1643</v>
      </c>
      <c r="B29" s="1178" t="s">
        <v>164</v>
      </c>
      <c r="C29" s="645"/>
      <c r="D29" s="645"/>
      <c r="E29" s="645">
        <v>-24</v>
      </c>
      <c r="F29" s="645">
        <v>-20</v>
      </c>
      <c r="G29" s="645">
        <v>-1</v>
      </c>
      <c r="H29" s="645">
        <v>-3</v>
      </c>
      <c r="I29" s="645">
        <v>-47</v>
      </c>
      <c r="J29" s="645">
        <v>-1</v>
      </c>
      <c r="K29" s="645">
        <v>-48</v>
      </c>
    </row>
    <row r="30" spans="1:17" ht="11.25" customHeight="1">
      <c r="A30" s="1179" t="s">
        <v>617</v>
      </c>
      <c r="B30" s="1179"/>
      <c r="C30" s="649"/>
      <c r="D30" s="649"/>
      <c r="E30" s="649"/>
      <c r="F30" s="649"/>
      <c r="G30" s="649"/>
      <c r="H30" s="649">
        <v>386</v>
      </c>
      <c r="I30" s="649">
        <v>386</v>
      </c>
      <c r="J30" s="649">
        <v>1</v>
      </c>
      <c r="K30" s="649">
        <v>386</v>
      </c>
    </row>
    <row r="31" spans="1:17" ht="11.25" customHeight="1">
      <c r="A31" s="1178" t="s">
        <v>536</v>
      </c>
      <c r="B31" s="1178" t="s">
        <v>944</v>
      </c>
      <c r="C31" s="645"/>
      <c r="D31" s="645"/>
      <c r="E31" s="645">
        <v>-24</v>
      </c>
      <c r="F31" s="645">
        <v>-20</v>
      </c>
      <c r="G31" s="645">
        <v>-1</v>
      </c>
      <c r="H31" s="645">
        <v>383</v>
      </c>
      <c r="I31" s="645">
        <v>338</v>
      </c>
      <c r="J31" s="645"/>
      <c r="K31" s="645">
        <v>338</v>
      </c>
    </row>
    <row r="32" spans="1:17" ht="11.25" customHeight="1">
      <c r="A32" s="1121" t="s">
        <v>985</v>
      </c>
      <c r="B32" s="1121" t="s">
        <v>984</v>
      </c>
      <c r="C32" s="621"/>
      <c r="D32" s="621"/>
      <c r="E32" s="621"/>
      <c r="F32" s="621"/>
      <c r="G32" s="621"/>
      <c r="H32" s="621"/>
      <c r="I32" s="621"/>
      <c r="J32" s="621"/>
      <c r="K32" s="621"/>
    </row>
    <row r="33" spans="1:11" ht="11.25" customHeight="1">
      <c r="A33" s="1173" t="s">
        <v>1115</v>
      </c>
      <c r="B33" s="1173"/>
      <c r="C33" s="621"/>
      <c r="D33" s="621"/>
      <c r="E33" s="621"/>
      <c r="F33" s="621"/>
      <c r="G33" s="621"/>
      <c r="H33" s="621">
        <v>-272</v>
      </c>
      <c r="I33" s="621">
        <v>-272</v>
      </c>
      <c r="J33" s="621">
        <v>-3</v>
      </c>
      <c r="K33" s="621">
        <v>-275</v>
      </c>
    </row>
    <row r="34" spans="1:11" ht="22.5" customHeight="1">
      <c r="A34" s="1142" t="s">
        <v>1518</v>
      </c>
      <c r="B34" s="1142"/>
      <c r="C34" s="625"/>
      <c r="D34" s="625"/>
      <c r="E34" s="625"/>
      <c r="F34" s="625"/>
      <c r="G34" s="625"/>
      <c r="H34" s="625"/>
      <c r="I34" s="625"/>
      <c r="J34" s="625">
        <v>-7</v>
      </c>
      <c r="K34" s="625">
        <v>-7</v>
      </c>
    </row>
    <row r="35" spans="1:11" ht="11.25" customHeight="1">
      <c r="A35" s="1177" t="s">
        <v>1363</v>
      </c>
      <c r="B35" s="1177"/>
      <c r="C35" s="626">
        <v>336</v>
      </c>
      <c r="D35" s="626">
        <v>61</v>
      </c>
      <c r="E35" s="626">
        <v>-155</v>
      </c>
      <c r="F35" s="626">
        <v>-31</v>
      </c>
      <c r="G35" s="626">
        <v>-39</v>
      </c>
      <c r="H35" s="626">
        <v>2245</v>
      </c>
      <c r="I35" s="626">
        <v>2418</v>
      </c>
      <c r="J35" s="626">
        <v>14</v>
      </c>
      <c r="K35" s="626">
        <v>2432</v>
      </c>
    </row>
    <row r="36" spans="1:11">
      <c r="A36" s="261"/>
      <c r="B36" s="261"/>
      <c r="C36" s="262"/>
      <c r="D36" s="262"/>
      <c r="E36" s="262"/>
      <c r="F36" s="262"/>
      <c r="G36" s="262"/>
      <c r="H36" s="262"/>
      <c r="I36" s="262"/>
      <c r="J36" s="262"/>
      <c r="K36" s="262"/>
    </row>
    <row r="37" spans="1:11" ht="11.25" customHeight="1">
      <c r="A37" s="1148" t="s">
        <v>1597</v>
      </c>
      <c r="B37" s="1148"/>
      <c r="C37" s="1148"/>
      <c r="D37" s="1148"/>
      <c r="E37" s="1148"/>
      <c r="F37" s="1148"/>
      <c r="G37" s="1148"/>
      <c r="H37" s="1148"/>
      <c r="I37" s="1148"/>
      <c r="J37" s="1148"/>
      <c r="K37" s="1148"/>
    </row>
    <row r="38" spans="1:11">
      <c r="F38" s="263"/>
      <c r="G38" s="263"/>
    </row>
    <row r="39" spans="1:11">
      <c r="F39" s="263"/>
      <c r="G39" s="263"/>
    </row>
    <row r="40" spans="1:11">
      <c r="A40" s="1148"/>
      <c r="B40" s="1148"/>
      <c r="C40" s="1148"/>
      <c r="D40" s="1148"/>
      <c r="E40" s="1148"/>
      <c r="F40" s="1148"/>
      <c r="G40" s="1148"/>
      <c r="H40" s="1148"/>
      <c r="I40" s="1148"/>
      <c r="J40" s="1148"/>
      <c r="K40" s="1148"/>
    </row>
    <row r="41" spans="1:11">
      <c r="F41" s="263"/>
      <c r="G41" s="263"/>
    </row>
  </sheetData>
  <mergeCells count="35">
    <mergeCell ref="A7:B7"/>
    <mergeCell ref="A8:B8"/>
    <mergeCell ref="A6:B6"/>
    <mergeCell ref="A34:B34"/>
    <mergeCell ref="A26:B26"/>
    <mergeCell ref="A33:B33"/>
    <mergeCell ref="A22:B22"/>
    <mergeCell ref="A1:K1"/>
    <mergeCell ref="C3:I3"/>
    <mergeCell ref="A9:B9"/>
    <mergeCell ref="A21:B21"/>
    <mergeCell ref="A10:B10"/>
    <mergeCell ref="A14:B14"/>
    <mergeCell ref="A4:B4"/>
    <mergeCell ref="A16:B16"/>
    <mergeCell ref="A13:B13"/>
    <mergeCell ref="A15:B15"/>
    <mergeCell ref="A5:B5"/>
    <mergeCell ref="A17:B17"/>
    <mergeCell ref="C20:I20"/>
    <mergeCell ref="A11:B11"/>
    <mergeCell ref="A12:B12"/>
    <mergeCell ref="A18:B18"/>
    <mergeCell ref="A40:K40"/>
    <mergeCell ref="A23:B23"/>
    <mergeCell ref="A37:K37"/>
    <mergeCell ref="A27:B27"/>
    <mergeCell ref="A28:B28"/>
    <mergeCell ref="A35:B35"/>
    <mergeCell ref="A31:B31"/>
    <mergeCell ref="A24:B24"/>
    <mergeCell ref="A29:B29"/>
    <mergeCell ref="A30:B30"/>
    <mergeCell ref="A32:B32"/>
    <mergeCell ref="A25:B25"/>
  </mergeCells>
  <phoneticPr fontId="10" type="noConversion"/>
  <pageMargins left="0.75" right="0.75" top="1" bottom="1" header="0.5" footer="0.5"/>
  <pageSetup scale="75"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48</vt:i4>
      </vt:variant>
    </vt:vector>
  </HeadingPairs>
  <TitlesOfParts>
    <vt:vector size="94" baseType="lpstr">
      <vt:lpstr>Tuloksen määreet</vt:lpstr>
      <vt:lpstr>Viisivuotiskatsaus</vt:lpstr>
      <vt:lpstr>Kvartaalitunnuslukuja</vt:lpstr>
      <vt:lpstr>Tunnuslukujen laskentakaavat</vt:lpstr>
      <vt:lpstr>Tuloslaskelma</vt:lpstr>
      <vt:lpstr>Laaja tuloslaskelma</vt:lpstr>
      <vt:lpstr>Tase</vt:lpstr>
      <vt:lpstr>Rahavirtalaskelma</vt:lpstr>
      <vt:lpstr>Oma pääoma</vt:lpstr>
      <vt:lpstr>Liite 1</vt:lpstr>
      <vt:lpstr>Liite 2</vt:lpstr>
      <vt:lpstr>Liite 3</vt:lpstr>
      <vt:lpstr>Liite 4</vt:lpstr>
      <vt:lpstr>Liite 5</vt:lpstr>
      <vt:lpstr>Liite 6</vt:lpstr>
      <vt:lpstr>Liite 7</vt:lpstr>
      <vt:lpstr>Liite 8</vt:lpstr>
      <vt:lpstr>Liite 9</vt:lpstr>
      <vt:lpstr>Liite 10</vt:lpstr>
      <vt:lpstr>Liite 11</vt:lpstr>
      <vt:lpstr>Liite 12</vt:lpstr>
      <vt:lpstr>Liite 13</vt:lpstr>
      <vt:lpstr>Liite 14</vt:lpstr>
      <vt:lpstr>Liite 15</vt:lpstr>
      <vt:lpstr>Liite 16</vt:lpstr>
      <vt:lpstr>Liite 17</vt:lpstr>
      <vt:lpstr>Liite 18</vt:lpstr>
      <vt:lpstr>Liite 19</vt:lpstr>
      <vt:lpstr>Liite 20</vt:lpstr>
      <vt:lpstr>Liite 21</vt:lpstr>
      <vt:lpstr>Liite 22</vt:lpstr>
      <vt:lpstr>Liite 23</vt:lpstr>
      <vt:lpstr>Liite 24</vt:lpstr>
      <vt:lpstr>Liite 25</vt:lpstr>
      <vt:lpstr>Liite 26</vt:lpstr>
      <vt:lpstr>Liite 27</vt:lpstr>
      <vt:lpstr>Liite 28</vt:lpstr>
      <vt:lpstr>Liite 29</vt:lpstr>
      <vt:lpstr>Liite 30</vt:lpstr>
      <vt:lpstr>Liite 31</vt:lpstr>
      <vt:lpstr>Liite 32</vt:lpstr>
      <vt:lpstr>Liite 33</vt:lpstr>
      <vt:lpstr>Liite 34</vt:lpstr>
      <vt:lpstr>Liite 35</vt:lpstr>
      <vt:lpstr>check versio</vt:lpstr>
      <vt:lpstr>Sheet1</vt:lpstr>
      <vt:lpstr>kvastaava</vt:lpstr>
      <vt:lpstr>kvastattavaa</vt:lpstr>
      <vt:lpstr>'check versio'!Print_Area</vt:lpstr>
      <vt:lpstr>Kvartaalitunnuslukuja!Print_Area</vt:lpstr>
      <vt:lpstr>'Laaja tuloslaskelma'!Print_Area</vt:lpstr>
      <vt:lpstr>'Liite 1'!Print_Area</vt:lpstr>
      <vt:lpstr>'Liite 10'!Print_Area</vt:lpstr>
      <vt:lpstr>'Liite 11'!Print_Area</vt:lpstr>
      <vt:lpstr>'Liite 12'!Print_Area</vt:lpstr>
      <vt:lpstr>'Liite 13'!Print_Area</vt:lpstr>
      <vt:lpstr>'Liite 14'!Print_Area</vt:lpstr>
      <vt:lpstr>'Liite 15'!Print_Area</vt:lpstr>
      <vt:lpstr>'Liite 16'!Print_Area</vt:lpstr>
      <vt:lpstr>'Liite 17'!Print_Area</vt:lpstr>
      <vt:lpstr>'Liite 18'!Print_Area</vt:lpstr>
      <vt:lpstr>'Liite 19'!Print_Area</vt:lpstr>
      <vt:lpstr>'Liite 2'!Print_Area</vt:lpstr>
      <vt:lpstr>'Liite 20'!Print_Area</vt:lpstr>
      <vt:lpstr>'Liite 21'!Print_Area</vt:lpstr>
      <vt:lpstr>'Liite 22'!Print_Area</vt:lpstr>
      <vt:lpstr>'Liite 23'!Print_Area</vt:lpstr>
      <vt:lpstr>'Liite 24'!Print_Area</vt:lpstr>
      <vt:lpstr>'Liite 25'!Print_Area</vt:lpstr>
      <vt:lpstr>'Liite 26'!Print_Area</vt:lpstr>
      <vt:lpstr>'Liite 27'!Print_Area</vt:lpstr>
      <vt:lpstr>'Liite 28'!Print_Area</vt:lpstr>
      <vt:lpstr>'Liite 29'!Print_Area</vt:lpstr>
      <vt:lpstr>'Liite 3'!Print_Area</vt:lpstr>
      <vt:lpstr>'Liite 30'!Print_Area</vt:lpstr>
      <vt:lpstr>'Liite 31'!Print_Area</vt:lpstr>
      <vt:lpstr>'Liite 32'!Print_Area</vt:lpstr>
      <vt:lpstr>'Liite 33'!Print_Area</vt:lpstr>
      <vt:lpstr>'Liite 34'!Print_Area</vt:lpstr>
      <vt:lpstr>'Liite 35'!Print_Area</vt:lpstr>
      <vt:lpstr>'Liite 4'!Print_Area</vt:lpstr>
      <vt:lpstr>'Liite 5'!Print_Area</vt:lpstr>
      <vt:lpstr>'Liite 6'!Print_Area</vt:lpstr>
      <vt:lpstr>'Liite 7'!Print_Area</vt:lpstr>
      <vt:lpstr>'Liite 8'!Print_Area</vt:lpstr>
      <vt:lpstr>'Liite 9'!Print_Area</vt:lpstr>
      <vt:lpstr>'Oma pääoma'!Print_Area</vt:lpstr>
      <vt:lpstr>Rahavirtalaskelma!Print_Area</vt:lpstr>
      <vt:lpstr>Tase!Print_Area</vt:lpstr>
      <vt:lpstr>'Tuloksen määreet'!Print_Area</vt:lpstr>
      <vt:lpstr>Tuloslaskelma!Print_Area</vt:lpstr>
      <vt:lpstr>'Tunnuslukujen laskentakaavat'!Print_Area</vt:lpstr>
      <vt:lpstr>Viisivuotiskatsaus!Print_Area</vt:lpstr>
      <vt:lpstr>virallvastaavaa</vt:lpstr>
    </vt:vector>
  </TitlesOfParts>
  <Company>Metra Oyj Abp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tuija</dc:creator>
  <cp:lastModifiedBy>Jenni Kataja</cp:lastModifiedBy>
  <cp:lastPrinted>2018-01-19T19:39:19Z</cp:lastPrinted>
  <dcterms:created xsi:type="dcterms:W3CDTF">1999-05-28T08:16:58Z</dcterms:created>
  <dcterms:modified xsi:type="dcterms:W3CDTF">2019-02-05T19:19:01Z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