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autoCompressPictures="0" defaultThemeVersion="124226"/>
  <mc:AlternateContent xmlns:mc="http://schemas.openxmlformats.org/markup-compatibility/2006">
    <mc:Choice Requires="x15">
      <x15ac:absPath xmlns:x15ac="http://schemas.microsoft.com/office/spreadsheetml/2010/11/ac" url="C:\Users\aca019\Desktop\Quarterly images\"/>
    </mc:Choice>
  </mc:AlternateContent>
  <xr:revisionPtr revIDLastSave="0" documentId="8_{D77ECDBA-7110-4925-8AE9-75B584C26CE9}" xr6:coauthVersionLast="44" xr6:coauthVersionMax="44" xr10:uidLastSave="{00000000-0000-0000-0000-000000000000}"/>
  <bookViews>
    <workbookView xWindow="3465" yWindow="3465" windowWidth="21600" windowHeight="11385" tabRatio="761" xr2:uid="{00000000-000D-0000-FFFF-FFFF00000000}"/>
  </bookViews>
  <sheets>
    <sheet name="Five Years in Figures" sheetId="72" r:id="rId1"/>
    <sheet name="Quarterly Figures" sheetId="95" r:id="rId2"/>
    <sheet name="Calculation of Financial Ratios" sheetId="73" r:id="rId3"/>
    <sheet name="Income Statement" sheetId="33" r:id="rId4"/>
    <sheet name="OCI" sheetId="87" r:id="rId5"/>
    <sheet name="Balance Sheet" sheetId="34" r:id="rId6"/>
    <sheet name="Cash Flow" sheetId="35" r:id="rId7"/>
    <sheet name="Equity" sheetId="37" r:id="rId8"/>
    <sheet name="Note 1" sheetId="86" r:id="rId9"/>
    <sheet name="Note 2" sheetId="38" r:id="rId10"/>
    <sheet name="Note 3" sheetId="88" r:id="rId11"/>
    <sheet name="Note 4" sheetId="96" r:id="rId12"/>
    <sheet name="Note 5" sheetId="39" r:id="rId13"/>
    <sheet name="Note 6" sheetId="40" r:id="rId14"/>
    <sheet name="Note 7" sheetId="41" r:id="rId15"/>
    <sheet name="Note 8" sheetId="42" r:id="rId16"/>
    <sheet name="Note 9" sheetId="51" r:id="rId17"/>
    <sheet name="Note 10" sheetId="90" r:id="rId18"/>
    <sheet name="Note 11" sheetId="80" r:id="rId19"/>
    <sheet name="Note 12" sheetId="49" r:id="rId20"/>
    <sheet name="Note 13" sheetId="48" r:id="rId21"/>
    <sheet name="Note 14" sheetId="85" r:id="rId22"/>
    <sheet name="Note 15" sheetId="84" r:id="rId23"/>
    <sheet name="Note 16" sheetId="94" r:id="rId24"/>
    <sheet name="Note 17" sheetId="45" r:id="rId25"/>
    <sheet name="Note 18" sheetId="60" r:id="rId26"/>
    <sheet name="Note 19" sheetId="52" r:id="rId27"/>
    <sheet name="Note 20" sheetId="92" r:id="rId28"/>
    <sheet name="Note 21" sheetId="59" r:id="rId29"/>
    <sheet name="Note 22" sheetId="58" r:id="rId30"/>
    <sheet name="Note 23" sheetId="93" r:id="rId31"/>
    <sheet name="Note 24" sheetId="57" r:id="rId32"/>
    <sheet name="Note 25" sheetId="56" r:id="rId33"/>
    <sheet name="Note 26" sheetId="55" r:id="rId34"/>
    <sheet name="Note 27" sheetId="63" r:id="rId35"/>
    <sheet name="Note 28" sheetId="62" r:id="rId36"/>
    <sheet name="Note 29" sheetId="67" r:id="rId37"/>
    <sheet name="Note 30" sheetId="66" r:id="rId38"/>
    <sheet name="Note 31" sheetId="65" r:id="rId39"/>
    <sheet name="Note 32" sheetId="64" r:id="rId40"/>
    <sheet name="Note 33" sheetId="82" r:id="rId41"/>
    <sheet name="Note 34" sheetId="70" r:id="rId42"/>
    <sheet name="Note 35" sheetId="83" r:id="rId43"/>
    <sheet name="Note 36" sheetId="68" r:id="rId44"/>
    <sheet name="check versio" sheetId="15" state="hidden" r:id="rId45"/>
    <sheet name="Sheet1" sheetId="76" r:id="rId46"/>
  </sheets>
  <definedNames>
    <definedName name="G" localSheetId="42">'Note 35'!#REF!</definedName>
    <definedName name="kvastaava">'Balance Sheet'!$A$1:$F$26</definedName>
    <definedName name="kvastattavaa">'Balance Sheet'!$A$34:$F$67</definedName>
    <definedName name="_xlnm.Print_Area" localSheetId="5">'Balance Sheet'!$A$1:$F$74</definedName>
    <definedName name="_xlnm.Print_Area" localSheetId="2">'Calculation of Financial Ratios'!$A$1:$C$76</definedName>
    <definedName name="_xlnm.Print_Area" localSheetId="6">'Cash Flow'!$A$1:$F$62</definedName>
    <definedName name="_xlnm.Print_Area" localSheetId="44">'check versio'!$A$324:$H$366</definedName>
    <definedName name="_xlnm.Print_Area" localSheetId="7">Equity!$A$1:$K$37</definedName>
    <definedName name="_xlnm.Print_Area" localSheetId="0">'Five Years in Figures'!$A$1:$H$64</definedName>
    <definedName name="_xlnm.Print_Area" localSheetId="3">'Income Statement'!$A$1:$F$35</definedName>
    <definedName name="_xlnm.Print_Area" localSheetId="8">'Note 1'!$A$1:$F$115</definedName>
    <definedName name="_xlnm.Print_Area" localSheetId="17">'Note 10'!$A$1:$C$12</definedName>
    <definedName name="_xlnm.Print_Area" localSheetId="18">'Note 11'!$A$1:$C$24</definedName>
    <definedName name="_xlnm.Print_Area" localSheetId="19">'Note 12'!$A$1:$D$36</definedName>
    <definedName name="_xlnm.Print_Area" localSheetId="20">'Note 13'!$A$1:$D$15</definedName>
    <definedName name="_xlnm.Print_Area" localSheetId="21">'Note 14'!$A$1:$F$134</definedName>
    <definedName name="_xlnm.Print_Area" localSheetId="22">'Note 15'!$A$1:$G$44</definedName>
    <definedName name="_xlnm.Print_Area" localSheetId="23">'Note 16'!$A$1:$B$38</definedName>
    <definedName name="_xlnm.Print_Area" localSheetId="24">'Note 17'!$A$1:$I$40</definedName>
    <definedName name="_xlnm.Print_Area" localSheetId="25">'Note 18'!$A$1:$G$92</definedName>
    <definedName name="_xlnm.Print_Area" localSheetId="26">'Note 19'!$A$1:$C$13</definedName>
    <definedName name="_xlnm.Print_Area" localSheetId="9">'Note 2'!$A$1:$B$109</definedName>
    <definedName name="_xlnm.Print_Area" localSheetId="27">'Note 20'!$A$1:$C$23</definedName>
    <definedName name="_xlnm.Print_Area" localSheetId="28">'Note 21'!$A$1:$C$21</definedName>
    <definedName name="_xlnm.Print_Area" localSheetId="29">'Note 22'!$A$1:$C$11</definedName>
    <definedName name="_xlnm.Print_Area" localSheetId="30">'Note 23'!$A$1:$G$40</definedName>
    <definedName name="_xlnm.Print_Area" localSheetId="31">'Note 24'!$A$1:$H$46</definedName>
    <definedName name="_xlnm.Print_Area" localSheetId="32">'Note 25'!$A$1:$E$104</definedName>
    <definedName name="_xlnm.Print_Area" localSheetId="33">'Note 26'!$A$1:$E$50</definedName>
    <definedName name="_xlnm.Print_Area" localSheetId="34">'Note 27'!$A$1:$G$33</definedName>
    <definedName name="_xlnm.Print_Area" localSheetId="35">'Note 28'!$A$1:$F$35</definedName>
    <definedName name="_xlnm.Print_Area" localSheetId="36">'Note 29'!$A$1:$C$15</definedName>
    <definedName name="_xlnm.Print_Area" localSheetId="10">'Note 3'!$A$1:$C$17</definedName>
    <definedName name="_xlnm.Print_Area" localSheetId="37">'Note 30'!$A$1:$F$44</definedName>
    <definedName name="_xlnm.Print_Area" localSheetId="38">'Note 31'!$A$1:$F$33</definedName>
    <definedName name="_xlnm.Print_Area" localSheetId="39">'Note 32'!$A$1:$D$55</definedName>
    <definedName name="_xlnm.Print_Area" localSheetId="40">'Note 33'!$A$1:$G$227</definedName>
    <definedName name="_xlnm.Print_Area" localSheetId="41">'Note 34'!$A$1:$E$13</definedName>
    <definedName name="_xlnm.Print_Area" localSheetId="42">'Note 35'!$A$1:$F$21</definedName>
    <definedName name="_xlnm.Print_Area" localSheetId="43">'Note 36'!$A$1:$E$133</definedName>
    <definedName name="_xlnm.Print_Area" localSheetId="11">'Note 4'!$A$1:$C$23</definedName>
    <definedName name="_xlnm.Print_Area" localSheetId="12">'Note 5'!$A$1:$D$53</definedName>
    <definedName name="_xlnm.Print_Area" localSheetId="13">'Note 6'!$A$1:$C$15</definedName>
    <definedName name="_xlnm.Print_Area" localSheetId="14">'Note 7'!$A$1:$C$8</definedName>
    <definedName name="_xlnm.Print_Area" localSheetId="15">'Note 8'!$A$1:$D$24</definedName>
    <definedName name="_xlnm.Print_Area" localSheetId="16">'Note 9'!$A$1:$C$14</definedName>
    <definedName name="_xlnm.Print_Area" localSheetId="4">OCI!$A$1:$F$37</definedName>
    <definedName name="_xlnm.Print_Area" localSheetId="1">'Quarterly Figures'!$A$1:$K$58</definedName>
    <definedName name="virallvastaavaa">'Balance Sheet'!$A$1:$F$26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66" i="15" l="1"/>
  <c r="H266" i="15" s="1"/>
  <c r="B89" i="15"/>
  <c r="B90" i="15"/>
  <c r="B92" i="15"/>
  <c r="A2" i="15"/>
  <c r="B118" i="15"/>
  <c r="B117" i="15"/>
  <c r="C106" i="15"/>
  <c r="C12" i="15"/>
  <c r="C14" i="15" s="1"/>
  <c r="C79" i="15"/>
  <c r="C80" i="15"/>
  <c r="C81" i="15"/>
  <c r="C82" i="15"/>
  <c r="C83" i="15"/>
  <c r="C85" i="15"/>
  <c r="C89" i="15"/>
  <c r="C90" i="15"/>
  <c r="C92" i="15"/>
  <c r="C96" i="15"/>
  <c r="C100" i="15"/>
  <c r="D108" i="15"/>
  <c r="B106" i="15" s="1"/>
  <c r="C108" i="15"/>
  <c r="E67" i="15"/>
  <c r="E68" i="15" s="1"/>
  <c r="B83" i="15"/>
  <c r="B271" i="15"/>
  <c r="B336" i="15" s="1"/>
  <c r="B315" i="15"/>
  <c r="B314" i="15"/>
  <c r="B308" i="15"/>
  <c r="B313" i="15" s="1"/>
  <c r="B302" i="15"/>
  <c r="B297" i="15"/>
  <c r="B292" i="15"/>
  <c r="B242" i="15"/>
  <c r="B234" i="15"/>
  <c r="B204" i="15"/>
  <c r="B214" i="15" s="1"/>
  <c r="B223" i="15" s="1"/>
  <c r="B231" i="15" s="1"/>
  <c r="B226" i="15"/>
  <c r="B216" i="15"/>
  <c r="B215" i="15"/>
  <c r="B208" i="15"/>
  <c r="B209" i="15"/>
  <c r="B196" i="15"/>
  <c r="B198" i="15" s="1"/>
  <c r="B194" i="15"/>
  <c r="B186" i="15"/>
  <c r="B185" i="15"/>
  <c r="B179" i="15"/>
  <c r="B178" i="15"/>
  <c r="B177" i="15"/>
  <c r="F161" i="15"/>
  <c r="B161" i="15" s="1"/>
  <c r="F160" i="15"/>
  <c r="E160" i="15"/>
  <c r="B134" i="15"/>
  <c r="B147" i="15" s="1"/>
  <c r="A8" i="15"/>
  <c r="A9" i="15"/>
  <c r="A10" i="15"/>
  <c r="A11" i="15"/>
  <c r="A12" i="15"/>
  <c r="E12" i="15"/>
  <c r="E14" i="15" s="1"/>
  <c r="A13" i="15"/>
  <c r="A14" i="15"/>
  <c r="D14" i="15"/>
  <c r="D18" i="15" s="1"/>
  <c r="E15" i="15"/>
  <c r="A15" i="15"/>
  <c r="A16" i="15"/>
  <c r="A17" i="15"/>
  <c r="A18" i="15"/>
  <c r="A19" i="15"/>
  <c r="A20" i="15"/>
  <c r="A22" i="15"/>
  <c r="A23" i="15"/>
  <c r="A24" i="15"/>
  <c r="C25" i="15"/>
  <c r="D25" i="15"/>
  <c r="A27" i="15"/>
  <c r="A28" i="15"/>
  <c r="C28" i="15"/>
  <c r="C215" i="15" s="1"/>
  <c r="A29" i="15"/>
  <c r="A33" i="15"/>
  <c r="A34" i="15"/>
  <c r="A35" i="15"/>
  <c r="A36" i="15"/>
  <c r="C36" i="15"/>
  <c r="C39" i="15"/>
  <c r="C40" i="15"/>
  <c r="C41" i="15"/>
  <c r="C45" i="15"/>
  <c r="C46" i="15"/>
  <c r="E36" i="15"/>
  <c r="E37" i="15"/>
  <c r="E39" i="15"/>
  <c r="E40" i="15"/>
  <c r="E41" i="15"/>
  <c r="A37" i="15"/>
  <c r="A38" i="15"/>
  <c r="A39" i="15"/>
  <c r="D39" i="15"/>
  <c r="A40" i="15"/>
  <c r="D40" i="15"/>
  <c r="A41" i="15"/>
  <c r="A43" i="15"/>
  <c r="A44" i="15"/>
  <c r="A45" i="15"/>
  <c r="E45" i="15"/>
  <c r="E47" i="15" s="1"/>
  <c r="A46" i="15"/>
  <c r="D47" i="15"/>
  <c r="A49" i="15"/>
  <c r="A52" i="15"/>
  <c r="A53" i="15"/>
  <c r="A54" i="15"/>
  <c r="C54" i="15"/>
  <c r="C55" i="15" s="1"/>
  <c r="C58" i="15" s="1"/>
  <c r="D54" i="15"/>
  <c r="D55" i="15" s="1"/>
  <c r="D58" i="15" s="1"/>
  <c r="E54" i="15"/>
  <c r="E55" i="15" s="1"/>
  <c r="E58" i="15" s="1"/>
  <c r="A55" i="15"/>
  <c r="D68" i="15"/>
  <c r="D62" i="15"/>
  <c r="D63" i="15" s="1"/>
  <c r="D64" i="15" s="1"/>
  <c r="A57" i="15"/>
  <c r="A58" i="15"/>
  <c r="A60" i="15"/>
  <c r="A61" i="15"/>
  <c r="A62" i="15"/>
  <c r="C62" i="15"/>
  <c r="C63" i="15" s="1"/>
  <c r="C64" i="15" s="1"/>
  <c r="A63" i="15"/>
  <c r="E63" i="15"/>
  <c r="E64" i="15" s="1"/>
  <c r="A65" i="15"/>
  <c r="A66" i="15"/>
  <c r="A67" i="15"/>
  <c r="C67" i="15"/>
  <c r="C68" i="15" s="1"/>
  <c r="A70" i="15"/>
  <c r="A72" i="15"/>
  <c r="A75" i="15"/>
  <c r="A76" i="15"/>
  <c r="A77" i="15"/>
  <c r="M78" i="15"/>
  <c r="A78" i="15" s="1"/>
  <c r="N78" i="15"/>
  <c r="O78" i="15"/>
  <c r="A79" i="15"/>
  <c r="D79" i="15"/>
  <c r="M80" i="15"/>
  <c r="A80" i="15" s="1"/>
  <c r="D80" i="15"/>
  <c r="N80" i="15"/>
  <c r="O80" i="15"/>
  <c r="A81" i="15"/>
  <c r="D81" i="15"/>
  <c r="D82" i="15"/>
  <c r="D93" i="15"/>
  <c r="D101" i="15"/>
  <c r="E81" i="15"/>
  <c r="E84" i="15" s="1"/>
  <c r="E86" i="15" s="1"/>
  <c r="M82" i="15"/>
  <c r="A82" i="15" s="1"/>
  <c r="N82" i="15"/>
  <c r="O82" i="15"/>
  <c r="A83" i="15"/>
  <c r="A84" i="15"/>
  <c r="A85" i="15"/>
  <c r="A86" i="15"/>
  <c r="A88" i="15"/>
  <c r="A89" i="15"/>
  <c r="E89" i="15"/>
  <c r="A90" i="15"/>
  <c r="E90" i="15"/>
  <c r="E100" i="15"/>
  <c r="E101" i="15" s="1"/>
  <c r="A91" i="15"/>
  <c r="A92" i="15"/>
  <c r="A93" i="15"/>
  <c r="A95" i="15"/>
  <c r="A96" i="15"/>
  <c r="A97" i="15"/>
  <c r="A98" i="15"/>
  <c r="A99" i="15"/>
  <c r="A100" i="15"/>
  <c r="A101" i="15"/>
  <c r="A103" i="15"/>
  <c r="A106" i="15"/>
  <c r="D106" i="15"/>
  <c r="A107" i="15"/>
  <c r="D107" i="15"/>
  <c r="A108" i="15"/>
  <c r="A113" i="15"/>
  <c r="C114" i="15"/>
  <c r="H114" i="15"/>
  <c r="I114" i="15"/>
  <c r="H115" i="15"/>
  <c r="I115" i="15"/>
  <c r="F116" i="15"/>
  <c r="C117" i="15"/>
  <c r="D117" i="15"/>
  <c r="E117" i="15"/>
  <c r="F117" i="15"/>
  <c r="G117" i="15"/>
  <c r="A118" i="15"/>
  <c r="C118" i="15"/>
  <c r="D118" i="15"/>
  <c r="E118" i="15"/>
  <c r="F118" i="15"/>
  <c r="G118" i="15"/>
  <c r="A120" i="15"/>
  <c r="I120" i="15"/>
  <c r="A122" i="15"/>
  <c r="I122" i="15"/>
  <c r="A123" i="15"/>
  <c r="I123" i="15"/>
  <c r="A124" i="15"/>
  <c r="I124" i="15"/>
  <c r="A125" i="15"/>
  <c r="A126" i="15"/>
  <c r="I126" i="15"/>
  <c r="A127" i="15"/>
  <c r="I127" i="15"/>
  <c r="A128" i="15"/>
  <c r="I128" i="15"/>
  <c r="A129" i="15"/>
  <c r="E129" i="15"/>
  <c r="E131" i="15" s="1"/>
  <c r="F129" i="15"/>
  <c r="F131" i="15" s="1"/>
  <c r="F134" i="15" s="1"/>
  <c r="G129" i="15"/>
  <c r="G131" i="15" s="1"/>
  <c r="G134" i="15" s="1"/>
  <c r="H129" i="15"/>
  <c r="H131" i="15" s="1"/>
  <c r="H134" i="15" s="1"/>
  <c r="H136" i="15"/>
  <c r="H142" i="15" s="1"/>
  <c r="H143" i="15"/>
  <c r="A130" i="15"/>
  <c r="I130" i="15"/>
  <c r="A131" i="15"/>
  <c r="G142" i="15"/>
  <c r="G143" i="15"/>
  <c r="A132" i="15"/>
  <c r="I132" i="15"/>
  <c r="A133" i="15"/>
  <c r="I133" i="15"/>
  <c r="A134" i="15"/>
  <c r="C134" i="15"/>
  <c r="C147" i="15" s="1"/>
  <c r="D134" i="15"/>
  <c r="D147" i="15" s="1"/>
  <c r="A136" i="15"/>
  <c r="E136" i="15"/>
  <c r="E142" i="15" s="1"/>
  <c r="A137" i="15"/>
  <c r="I137" i="15"/>
  <c r="A138" i="15"/>
  <c r="A139" i="15"/>
  <c r="I139" i="15"/>
  <c r="A140" i="15"/>
  <c r="I140" i="15"/>
  <c r="A141" i="15"/>
  <c r="I141" i="15"/>
  <c r="A142" i="15"/>
  <c r="F142" i="15"/>
  <c r="F144" i="15" s="1"/>
  <c r="A143" i="15"/>
  <c r="A144" i="15"/>
  <c r="A145" i="15"/>
  <c r="I145" i="15"/>
  <c r="A146" i="15"/>
  <c r="I146" i="15"/>
  <c r="A147" i="15"/>
  <c r="A150" i="15"/>
  <c r="A152" i="15"/>
  <c r="A153" i="15"/>
  <c r="C153" i="15"/>
  <c r="A154" i="15"/>
  <c r="A155" i="15"/>
  <c r="M156" i="15"/>
  <c r="A156" i="15" s="1"/>
  <c r="N156" i="15"/>
  <c r="O156" i="15"/>
  <c r="M157" i="15"/>
  <c r="A157" i="15" s="1"/>
  <c r="N157" i="15"/>
  <c r="O157" i="15"/>
  <c r="M158" i="15"/>
  <c r="A158" i="15" s="1"/>
  <c r="N158" i="15"/>
  <c r="O158" i="15"/>
  <c r="A160" i="15"/>
  <c r="A161" i="15"/>
  <c r="A162" i="15"/>
  <c r="A163" i="15"/>
  <c r="C163" i="15"/>
  <c r="A166" i="15"/>
  <c r="A168" i="15"/>
  <c r="A169" i="15"/>
  <c r="G169" i="15"/>
  <c r="F169" i="15" s="1"/>
  <c r="A170" i="15"/>
  <c r="A171" i="15"/>
  <c r="G171" i="15"/>
  <c r="F171" i="15" s="1"/>
  <c r="M172" i="15"/>
  <c r="A172" i="15" s="1"/>
  <c r="N172" i="15"/>
  <c r="O172" i="15"/>
  <c r="M173" i="15"/>
  <c r="A173" i="15" s="1"/>
  <c r="G173" i="15"/>
  <c r="E173" i="15" s="1"/>
  <c r="N173" i="15"/>
  <c r="O173" i="15"/>
  <c r="M174" i="15"/>
  <c r="A174" i="15" s="1"/>
  <c r="N174" i="15"/>
  <c r="O174" i="15"/>
  <c r="A177" i="15"/>
  <c r="C177" i="15"/>
  <c r="F177" i="15"/>
  <c r="A178" i="15"/>
  <c r="C178" i="15"/>
  <c r="F178" i="15"/>
  <c r="A179" i="15"/>
  <c r="C179" i="15"/>
  <c r="A180" i="15"/>
  <c r="G180" i="15"/>
  <c r="A183" i="15"/>
  <c r="A185" i="15"/>
  <c r="C185" i="15"/>
  <c r="D185" i="15"/>
  <c r="E185" i="15"/>
  <c r="F185" i="15"/>
  <c r="A186" i="15"/>
  <c r="C186" i="15"/>
  <c r="D186" i="15"/>
  <c r="E186" i="15"/>
  <c r="F186" i="15"/>
  <c r="A189" i="15"/>
  <c r="A190" i="15"/>
  <c r="A191" i="15"/>
  <c r="A192" i="15"/>
  <c r="A193" i="15"/>
  <c r="C194" i="15"/>
  <c r="D194" i="15"/>
  <c r="D196" i="15"/>
  <c r="D198" i="15" s="1"/>
  <c r="E194" i="15"/>
  <c r="A195" i="15"/>
  <c r="A196" i="15"/>
  <c r="C196" i="15"/>
  <c r="C198" i="15" s="1"/>
  <c r="E196" i="15"/>
  <c r="E198" i="15" s="1"/>
  <c r="A197" i="15"/>
  <c r="A200" i="15"/>
  <c r="A203" i="15"/>
  <c r="A204" i="15"/>
  <c r="C204" i="15"/>
  <c r="C214" i="15" s="1"/>
  <c r="C223" i="15" s="1"/>
  <c r="C231" i="15" s="1"/>
  <c r="D204" i="15"/>
  <c r="D214" i="15" s="1"/>
  <c r="D223" i="15" s="1"/>
  <c r="D231" i="15" s="1"/>
  <c r="E204" i="15"/>
  <c r="E214" i="15" s="1"/>
  <c r="E223" i="15" s="1"/>
  <c r="E231" i="15" s="1"/>
  <c r="A205" i="15"/>
  <c r="A206" i="15"/>
  <c r="A207" i="15"/>
  <c r="A208" i="15"/>
  <c r="C208" i="15"/>
  <c r="A209" i="15"/>
  <c r="C209" i="15"/>
  <c r="E209" i="15"/>
  <c r="E210" i="15" s="1"/>
  <c r="A210" i="15"/>
  <c r="D210" i="15"/>
  <c r="A213" i="15"/>
  <c r="M215" i="15"/>
  <c r="A215" i="15" s="1"/>
  <c r="D215" i="15"/>
  <c r="E215" i="15"/>
  <c r="N215" i="15"/>
  <c r="O215" i="15"/>
  <c r="M216" i="15"/>
  <c r="A216" i="15" s="1"/>
  <c r="C216" i="15"/>
  <c r="D216" i="15"/>
  <c r="E216" i="15"/>
  <c r="N216" i="15"/>
  <c r="O216" i="15"/>
  <c r="A217" i="15"/>
  <c r="A218" i="15"/>
  <c r="A219" i="15"/>
  <c r="A222" i="15"/>
  <c r="A223" i="15"/>
  <c r="A224" i="15"/>
  <c r="A225" i="15"/>
  <c r="A226" i="15"/>
  <c r="C226" i="15"/>
  <c r="D226" i="15"/>
  <c r="E226" i="15"/>
  <c r="A227" i="15"/>
  <c r="A230" i="15"/>
  <c r="A231" i="15"/>
  <c r="A232" i="15"/>
  <c r="A233" i="15"/>
  <c r="A234" i="15"/>
  <c r="C234" i="15"/>
  <c r="D234" i="15"/>
  <c r="E234" i="15"/>
  <c r="A236" i="15"/>
  <c r="A237" i="15"/>
  <c r="A238" i="15"/>
  <c r="A239" i="15"/>
  <c r="A240" i="15"/>
  <c r="A241" i="15"/>
  <c r="A242" i="15"/>
  <c r="C242" i="15"/>
  <c r="D242" i="15"/>
  <c r="E242" i="15"/>
  <c r="A245" i="15"/>
  <c r="A246" i="15"/>
  <c r="A247" i="15"/>
  <c r="A248" i="15"/>
  <c r="A249" i="15"/>
  <c r="A250" i="15"/>
  <c r="A251" i="15"/>
  <c r="A252" i="15"/>
  <c r="A253" i="15"/>
  <c r="A256" i="15"/>
  <c r="A257" i="15"/>
  <c r="A258" i="15"/>
  <c r="C259" i="15"/>
  <c r="C258" i="15" s="1"/>
  <c r="D258" i="15"/>
  <c r="E258" i="15"/>
  <c r="F258" i="15"/>
  <c r="G258" i="15"/>
  <c r="A259" i="15"/>
  <c r="H259" i="15"/>
  <c r="A260" i="15"/>
  <c r="H260" i="15"/>
  <c r="A262" i="15"/>
  <c r="D262" i="15"/>
  <c r="E263" i="15"/>
  <c r="E264" i="15"/>
  <c r="H264" i="15" s="1"/>
  <c r="E271" i="15"/>
  <c r="E272" i="15"/>
  <c r="F272" i="15"/>
  <c r="F263" i="15"/>
  <c r="F262" i="15" s="1"/>
  <c r="F270" i="15" s="1"/>
  <c r="F271" i="15"/>
  <c r="G271" i="15"/>
  <c r="G262" i="15"/>
  <c r="G270" i="15" s="1"/>
  <c r="A263" i="15"/>
  <c r="A264" i="15"/>
  <c r="A266" i="15"/>
  <c r="C266" i="15"/>
  <c r="M267" i="15"/>
  <c r="A267" i="15" s="1"/>
  <c r="H267" i="15"/>
  <c r="N267" i="15"/>
  <c r="O267" i="15"/>
  <c r="M268" i="15"/>
  <c r="A268" i="15" s="1"/>
  <c r="C268" i="15"/>
  <c r="H268" i="15"/>
  <c r="N268" i="15"/>
  <c r="O268" i="15"/>
  <c r="M270" i="15"/>
  <c r="A270" i="15" s="1"/>
  <c r="N270" i="15"/>
  <c r="O270" i="15"/>
  <c r="A271" i="15"/>
  <c r="C271" i="15"/>
  <c r="C336" i="15" s="1"/>
  <c r="A272" i="15"/>
  <c r="M274" i="15"/>
  <c r="A274" i="15" s="1"/>
  <c r="H274" i="15"/>
  <c r="N274" i="15"/>
  <c r="O274" i="15"/>
  <c r="C292" i="15"/>
  <c r="D294" i="15"/>
  <c r="D292" i="15" s="1"/>
  <c r="E292" i="15"/>
  <c r="F292" i="15"/>
  <c r="G293" i="15"/>
  <c r="H292" i="15"/>
  <c r="C297" i="15"/>
  <c r="D297" i="15"/>
  <c r="E297" i="15"/>
  <c r="F297" i="15"/>
  <c r="G298" i="15"/>
  <c r="G299" i="15"/>
  <c r="G300" i="15"/>
  <c r="H298" i="15"/>
  <c r="H297" i="15" s="1"/>
  <c r="C302" i="15"/>
  <c r="D303" i="15"/>
  <c r="D302" i="15" s="1"/>
  <c r="E302" i="15"/>
  <c r="F302" i="15"/>
  <c r="G304" i="15"/>
  <c r="G305" i="15"/>
  <c r="H302" i="15"/>
  <c r="I302" i="15"/>
  <c r="C308" i="15"/>
  <c r="C307" i="15" s="1"/>
  <c r="D308" i="15"/>
  <c r="D309" i="15"/>
  <c r="G309" i="15" s="1"/>
  <c r="E308" i="15"/>
  <c r="E307" i="15" s="1"/>
  <c r="F308" i="15"/>
  <c r="F307" i="15" s="1"/>
  <c r="G310" i="15"/>
  <c r="H308" i="15"/>
  <c r="H307" i="15" s="1"/>
  <c r="I307" i="15"/>
  <c r="I309" i="15"/>
  <c r="C314" i="15"/>
  <c r="C315" i="15"/>
  <c r="E314" i="15"/>
  <c r="F314" i="15"/>
  <c r="D315" i="15"/>
  <c r="E315" i="15"/>
  <c r="F315" i="15"/>
  <c r="H314" i="15"/>
  <c r="H315" i="15"/>
  <c r="D336" i="15"/>
  <c r="E200" i="15" l="1"/>
  <c r="D313" i="15"/>
  <c r="G170" i="15"/>
  <c r="F170" i="15" s="1"/>
  <c r="B307" i="15"/>
  <c r="C200" i="15"/>
  <c r="C313" i="15"/>
  <c r="C312" i="15" s="1"/>
  <c r="B160" i="15"/>
  <c r="E93" i="15"/>
  <c r="E103" i="15" s="1"/>
  <c r="E110" i="15" s="1"/>
  <c r="G297" i="15"/>
  <c r="D270" i="15"/>
  <c r="D276" i="15" s="1"/>
  <c r="C42" i="15"/>
  <c r="C93" i="15"/>
  <c r="G294" i="15"/>
  <c r="G292" i="15" s="1"/>
  <c r="H263" i="15"/>
  <c r="G144" i="15"/>
  <c r="G147" i="15" s="1"/>
  <c r="H271" i="15"/>
  <c r="E336" i="15" s="1"/>
  <c r="H272" i="15"/>
  <c r="H258" i="15"/>
  <c r="C210" i="15"/>
  <c r="D41" i="15"/>
  <c r="D42" i="15" s="1"/>
  <c r="D49" i="15" s="1"/>
  <c r="G177" i="15" s="1"/>
  <c r="E42" i="15"/>
  <c r="E49" i="15" s="1"/>
  <c r="C101" i="15"/>
  <c r="B93" i="15"/>
  <c r="B162" i="15" s="1"/>
  <c r="G303" i="15"/>
  <c r="G302" i="15" s="1"/>
  <c r="I129" i="15"/>
  <c r="I136" i="15"/>
  <c r="D200" i="15"/>
  <c r="B312" i="15"/>
  <c r="G276" i="15"/>
  <c r="H313" i="15"/>
  <c r="H312" i="15" s="1"/>
  <c r="F276" i="15"/>
  <c r="H144" i="15"/>
  <c r="H147" i="15" s="1"/>
  <c r="B200" i="15"/>
  <c r="E72" i="15"/>
  <c r="E70" i="15"/>
  <c r="D78" i="15"/>
  <c r="D84" i="15" s="1"/>
  <c r="D86" i="15" s="1"/>
  <c r="D103" i="15" s="1"/>
  <c r="D110" i="15" s="1"/>
  <c r="G174" i="15"/>
  <c r="D20" i="15"/>
  <c r="C263" i="15"/>
  <c r="C262" i="15" s="1"/>
  <c r="C270" i="15" s="1"/>
  <c r="C276" i="15" s="1"/>
  <c r="C18" i="15"/>
  <c r="G315" i="15"/>
  <c r="I143" i="15"/>
  <c r="F147" i="15"/>
  <c r="C47" i="15"/>
  <c r="E18" i="15"/>
  <c r="E20" i="15" s="1"/>
  <c r="E23" i="15" s="1"/>
  <c r="E25" i="15" s="1"/>
  <c r="B210" i="15"/>
  <c r="G186" i="15"/>
  <c r="I186" i="15" s="1"/>
  <c r="G185" i="15"/>
  <c r="I185" i="15" s="1"/>
  <c r="I131" i="15"/>
  <c r="I134" i="15" s="1"/>
  <c r="E134" i="15"/>
  <c r="C72" i="15"/>
  <c r="C70" i="15"/>
  <c r="E144" i="15"/>
  <c r="I142" i="15"/>
  <c r="D70" i="15"/>
  <c r="G178" i="15" s="1"/>
  <c r="D72" i="15"/>
  <c r="C154" i="15"/>
  <c r="D307" i="15"/>
  <c r="G308" i="15"/>
  <c r="G307" i="15" s="1"/>
  <c r="M307" i="15" s="1"/>
  <c r="E313" i="15"/>
  <c r="E262" i="15"/>
  <c r="E270" i="15" s="1"/>
  <c r="E276" i="15" s="1"/>
  <c r="D314" i="15"/>
  <c r="F313" i="15"/>
  <c r="F312" i="15" s="1"/>
  <c r="C49" i="15" l="1"/>
  <c r="H262" i="15"/>
  <c r="H270" i="15" s="1"/>
  <c r="H276" i="15" s="1"/>
  <c r="C78" i="15"/>
  <c r="C84" i="15" s="1"/>
  <c r="C86" i="15" s="1"/>
  <c r="C103" i="15" s="1"/>
  <c r="C110" i="15" s="1"/>
  <c r="C111" i="15" s="1"/>
  <c r="C20" i="15"/>
  <c r="D312" i="15"/>
  <c r="G314" i="15"/>
  <c r="G319" i="15" s="1"/>
  <c r="E312" i="15"/>
  <c r="G313" i="15"/>
  <c r="I144" i="15"/>
  <c r="I147" i="15" s="1"/>
  <c r="I148" i="15" s="1"/>
  <c r="E147" i="15"/>
  <c r="I270" i="15" l="1"/>
  <c r="G312" i="15"/>
  <c r="G317" i="15" s="1"/>
  <c r="G318" i="15"/>
  <c r="B13" i="15" l="1"/>
  <c r="B37" i="15"/>
  <c r="B19" i="15"/>
  <c r="B45" i="15"/>
  <c r="B16" i="15"/>
  <c r="B17" i="15"/>
  <c r="B12" i="15"/>
  <c r="B36" i="15"/>
  <c r="B38" i="15"/>
  <c r="B41" i="15"/>
  <c r="B107" i="15"/>
  <c r="B53" i="15"/>
  <c r="B62" i="15"/>
  <c r="B46" i="15"/>
  <c r="B63" i="15"/>
  <c r="B54" i="15"/>
  <c r="B24" i="15"/>
  <c r="B98" i="15"/>
  <c r="B85" i="15"/>
  <c r="B97" i="15"/>
  <c r="B81" i="15"/>
  <c r="B61" i="15"/>
  <c r="B100" i="15"/>
  <c r="B66" i="15"/>
  <c r="B96" i="15"/>
  <c r="B10" i="15"/>
  <c r="B15" i="15"/>
  <c r="B67" i="15"/>
  <c r="B99" i="15"/>
  <c r="B57" i="15"/>
  <c r="B11" i="15"/>
  <c r="B39" i="15"/>
  <c r="B40" i="15"/>
  <c r="B44" i="15"/>
  <c r="B68" i="15" l="1"/>
  <c r="B42" i="15"/>
  <c r="B79" i="15"/>
  <c r="G163" i="15"/>
  <c r="F163" i="15" s="1"/>
  <c r="B163" i="15"/>
  <c r="G156" i="15"/>
  <c r="F156" i="15" s="1"/>
  <c r="B64" i="15"/>
  <c r="G155" i="15"/>
  <c r="F155" i="15" s="1"/>
  <c r="B266" i="15"/>
  <c r="B80" i="15"/>
  <c r="B268" i="15"/>
  <c r="B82" i="15"/>
  <c r="G157" i="15"/>
  <c r="E157" i="15" s="1"/>
  <c r="B47" i="15"/>
  <c r="B55" i="15"/>
  <c r="B58" i="15" s="1"/>
  <c r="B101" i="15"/>
  <c r="B108" i="15"/>
  <c r="B14" i="15"/>
  <c r="B154" i="15" s="1"/>
  <c r="G153" i="15"/>
  <c r="B259" i="15"/>
  <c r="B258" i="15" s="1"/>
  <c r="B153" i="15"/>
  <c r="J81" i="15"/>
  <c r="B263" i="15" l="1"/>
  <c r="B262" i="15" s="1"/>
  <c r="B270" i="15" s="1"/>
  <c r="B276" i="15" s="1"/>
  <c r="B18" i="15"/>
  <c r="B78" i="15" s="1"/>
  <c r="B84" i="15" s="1"/>
  <c r="B86" i="15" s="1"/>
  <c r="B103" i="15" s="1"/>
  <c r="B110" i="15" s="1"/>
  <c r="B111" i="15" s="1"/>
  <c r="B72" i="15"/>
  <c r="G154" i="15"/>
  <c r="B49" i="15"/>
  <c r="K49" i="15" s="1"/>
  <c r="B70" i="15"/>
  <c r="G161" i="15" s="1"/>
  <c r="B20" i="15" l="1"/>
  <c r="B23" i="15" s="1"/>
  <c r="B25" i="15" s="1"/>
  <c r="G158" i="15"/>
  <c r="K72" i="15"/>
  <c r="G160" i="15"/>
  <c r="K20"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JKJ001-RADMIN (Joachim Kjellman)</author>
  </authors>
  <commentList>
    <comment ref="B16" authorId="0" shapeId="0" xr:uid="{00000000-0006-0000-2C00-000001000000}">
      <text>
        <r>
          <rPr>
            <b/>
            <sz val="8"/>
            <color indexed="81"/>
            <rFont val="Tahoma"/>
            <family val="2"/>
          </rPr>
          <t>ASSA MEUR 63</t>
        </r>
      </text>
    </comment>
  </commentList>
</comments>
</file>

<file path=xl/sharedStrings.xml><?xml version="1.0" encoding="utf-8"?>
<sst xmlns="http://schemas.openxmlformats.org/spreadsheetml/2006/main" count="3166" uniqueCount="1739">
  <si>
    <t>Payable within one year</t>
  </si>
  <si>
    <t>Payable later</t>
  </si>
  <si>
    <t>Closing rates</t>
  </si>
  <si>
    <t>Average rates</t>
  </si>
  <si>
    <t>GBP</t>
  </si>
  <si>
    <t>JPY</t>
  </si>
  <si>
    <t>INR</t>
  </si>
  <si>
    <t>Förändring i kortfristiga lån och övriga förändringar</t>
  </si>
  <si>
    <t>Likvidit varat tilikauden alussa</t>
  </si>
  <si>
    <t>Likvida medel vid räkenskapsperiodens början</t>
  </si>
  <si>
    <t>Likvidit varat tilikauden lopussa</t>
  </si>
  <si>
    <t>Likvida medel vid räkenskapsperiodens slut</t>
  </si>
  <si>
    <t xml:space="preserve"> 1-3/2005</t>
  </si>
  <si>
    <t>Jakautuminen:</t>
  </si>
  <si>
    <t>Attributable to:</t>
  </si>
  <si>
    <t>Fördelning:</t>
  </si>
  <si>
    <t>Moderbolagets aktieägare</t>
  </si>
  <si>
    <t>Minoriteten</t>
  </si>
  <si>
    <t>Pitkäaikaiset varat</t>
  </si>
  <si>
    <t>Non-current assets</t>
  </si>
  <si>
    <t>Tillgångar som kan säljas</t>
  </si>
  <si>
    <t>Lyhytaikaiset varat</t>
  </si>
  <si>
    <t>Current assets</t>
  </si>
  <si>
    <t>Oma pääoma</t>
  </si>
  <si>
    <t>Shareholders' equity</t>
  </si>
  <si>
    <t>Eget kapital</t>
  </si>
  <si>
    <t>Pitkäaikaiset velat</t>
  </si>
  <si>
    <t>Long-term liabilities</t>
  </si>
  <si>
    <t xml:space="preserve">  x 100</t>
  </si>
  <si>
    <t>Wärtsilä Peru S.A.C.</t>
  </si>
  <si>
    <t>Share of result of associates and joint ventures</t>
  </si>
  <si>
    <t>Share of result</t>
  </si>
  <si>
    <t>Total equity</t>
  </si>
  <si>
    <t>Investments in associates and joint ventures</t>
  </si>
  <si>
    <t>Insurance receivables</t>
  </si>
  <si>
    <t>Kiinteistökiinnitykset</t>
  </si>
  <si>
    <t>Mortgages</t>
  </si>
  <si>
    <t>Changes in working capital:</t>
  </si>
  <si>
    <t>Inventories, increase (-) / decrease (+)</t>
  </si>
  <si>
    <t xml:space="preserve">  Placeringer</t>
  </si>
  <si>
    <t>Q1/2006</t>
  </si>
  <si>
    <t>Q3/2005</t>
  </si>
  <si>
    <t>Q2/2005</t>
  </si>
  <si>
    <t>Q1/2005</t>
  </si>
  <si>
    <t>Q4/2005</t>
  </si>
  <si>
    <t>Share of result in ass.comp</t>
  </si>
  <si>
    <t>Dividends and selling profit of assets avaiable for sale</t>
  </si>
  <si>
    <t>Financial income &amp; expenses</t>
  </si>
  <si>
    <t>Panfi</t>
  </si>
  <si>
    <t>Mij.euroa</t>
  </si>
  <si>
    <t>Liikevaihhto</t>
  </si>
  <si>
    <t>Derivatives</t>
  </si>
  <si>
    <t>Wärtsilä Egypt Power S.A.E</t>
  </si>
  <si>
    <t>Wärtsilä Ship Design Poland Sp.z.o.o.</t>
  </si>
  <si>
    <t xml:space="preserve">   On behalf of Group companies</t>
  </si>
  <si>
    <t>Effective dividend yield</t>
  </si>
  <si>
    <t>Price/earnings (P/E)</t>
  </si>
  <si>
    <t>Repropel Sociedad de reparacao de helices</t>
  </si>
  <si>
    <t>Wärtsilä Technology Oy Ab</t>
  </si>
  <si>
    <t>Wärtsilä Pakistan (Pvt.) Ltd.</t>
  </si>
  <si>
    <t>Wärtsilä Bangladesh Ltd.</t>
  </si>
  <si>
    <t>Wärtsilä Gulf FZE</t>
  </si>
  <si>
    <t>Wärtsilä South Africa (Pty) Ltd.</t>
  </si>
  <si>
    <t>Work in progress</t>
  </si>
  <si>
    <t>Finished products</t>
  </si>
  <si>
    <t xml:space="preserve">   Power Businesses and Holdings</t>
  </si>
  <si>
    <t xml:space="preserve">   Power-liiketoiminnat ja Sijoitukset</t>
  </si>
  <si>
    <t xml:space="preserve">   Power affärsområden och Placeringar</t>
  </si>
  <si>
    <t>Nettovoitot myytävissä olevista sijoituksista</t>
  </si>
  <si>
    <t>Sijoitukset</t>
  </si>
  <si>
    <t>Rahavirran suojaukset verojen jälkeen</t>
  </si>
  <si>
    <t>Kassaflödessäkring efter skatt</t>
  </si>
  <si>
    <t>Wärtsilä New Zealand Ltd</t>
  </si>
  <si>
    <t>New Zealand</t>
  </si>
  <si>
    <t>Wärtsilä PNG Ltd</t>
  </si>
  <si>
    <t>Papua New Guinea</t>
  </si>
  <si>
    <t>Uganda</t>
  </si>
  <si>
    <t>Wärtsilä Uganda Ltd.</t>
  </si>
  <si>
    <t>Wärtsilä Tanzania Ltd</t>
  </si>
  <si>
    <t>Tanzania</t>
  </si>
  <si>
    <t>Wärtsilä Ships Repairing &amp; Maintenance LLC</t>
  </si>
  <si>
    <t>Geographical 
area</t>
  </si>
  <si>
    <t>Geographical information</t>
  </si>
  <si>
    <t>Lainasaamiset</t>
  </si>
  <si>
    <t>Loan receivables</t>
  </si>
  <si>
    <t>Lånefordringar</t>
  </si>
  <si>
    <t>Rahat ja pankkisaamiset</t>
  </si>
  <si>
    <t>Cash and bank balances</t>
  </si>
  <si>
    <t>Kassa och bank</t>
  </si>
  <si>
    <t>Netto</t>
  </si>
  <si>
    <t>Net</t>
  </si>
  <si>
    <t>TUNNUSLUKUJA</t>
  </si>
  <si>
    <t>FINANCIAL RATIOS</t>
  </si>
  <si>
    <t>NYCKELTAL</t>
  </si>
  <si>
    <t>Oma pääoma/osake, EUR</t>
  </si>
  <si>
    <t>Shareholders' equity/share, EUR</t>
  </si>
  <si>
    <t>Omavaraisuusaste, %</t>
  </si>
  <si>
    <t>Solvency ratio, %</t>
  </si>
  <si>
    <t>Fastighetsinteckningar</t>
  </si>
  <si>
    <t>Yrityskiinnitykset</t>
  </si>
  <si>
    <t>Chattel mortgages</t>
  </si>
  <si>
    <t>Företagsinteckningar</t>
  </si>
  <si>
    <t>Fair value of plan assets</t>
  </si>
  <si>
    <t>Vieras pääoma yhteensä</t>
  </si>
  <si>
    <t>Främmande kapital totalt</t>
  </si>
  <si>
    <t>Non-current financial liabilities</t>
  </si>
  <si>
    <t>Current financial liabilities</t>
  </si>
  <si>
    <t>Liquidity and refinancing risk</t>
  </si>
  <si>
    <t>The existing funding programmes include:</t>
  </si>
  <si>
    <t>Revolving credit facilities</t>
  </si>
  <si>
    <t>Year</t>
  </si>
  <si>
    <t>Maturing</t>
  </si>
  <si>
    <t>Credit risk</t>
  </si>
  <si>
    <t>earnings</t>
  </si>
  <si>
    <t>kapital</t>
  </si>
  <si>
    <t>fond</t>
  </si>
  <si>
    <t>differens</t>
  </si>
  <si>
    <t>värde</t>
  </si>
  <si>
    <t>vinst</t>
  </si>
  <si>
    <t>Share capital</t>
  </si>
  <si>
    <t>Överlåtelseinkomster från aktier</t>
  </si>
  <si>
    <t>Amortization of long-term loans</t>
  </si>
  <si>
    <t>Cash and cash equivalents at end of period</t>
  </si>
  <si>
    <t>IAS 39 applied on 1 January 2005</t>
  </si>
  <si>
    <t>Total recognized income and expense for the period</t>
  </si>
  <si>
    <t>Resultat före skatter</t>
  </si>
  <si>
    <t>Omsättningtillgångar</t>
  </si>
  <si>
    <t>Finansiella intäkter och kostnader samt inkomstskatter</t>
  </si>
  <si>
    <t>31.03.2006</t>
  </si>
  <si>
    <t>Investoinnit</t>
  </si>
  <si>
    <t>Vastaavaa</t>
  </si>
  <si>
    <t xml:space="preserve">   Power-liiketoiminnat</t>
  </si>
  <si>
    <t xml:space="preserve">   Power Businesses</t>
  </si>
  <si>
    <t xml:space="preserve">   Power affärsområden</t>
  </si>
  <si>
    <t>Power Businesses</t>
  </si>
  <si>
    <t>Power affärsområden</t>
  </si>
  <si>
    <t>Emoyhtiön osakkeenomistajat</t>
  </si>
  <si>
    <t>Vähemmistö</t>
  </si>
  <si>
    <t>Muut velat</t>
  </si>
  <si>
    <t>Current loans, increase (+) / decrease (-)</t>
  </si>
  <si>
    <t>Share 
capital</t>
  </si>
  <si>
    <t>Fair 
value 
reserve</t>
  </si>
  <si>
    <t>Retained 
earnings</t>
  </si>
  <si>
    <t>Total 
equity</t>
  </si>
  <si>
    <t>Portugal</t>
  </si>
  <si>
    <t>Neptun Maritime AS</t>
  </si>
  <si>
    <t>Norway</t>
  </si>
  <si>
    <t>China</t>
  </si>
  <si>
    <t>Panfi per Segment</t>
  </si>
  <si>
    <t>EBIT</t>
  </si>
  <si>
    <t>Other shareholders' equity</t>
  </si>
  <si>
    <t>Omsättning</t>
  </si>
  <si>
    <t>Kostnader</t>
  </si>
  <si>
    <t>Finansiella intäkter och kostnader</t>
  </si>
  <si>
    <t>Aktiekapital</t>
  </si>
  <si>
    <t>Övrigt eget kapital</t>
  </si>
  <si>
    <t>Resultatandel i intresseföretag</t>
  </si>
  <si>
    <t>Convertible subordinated debentures</t>
  </si>
  <si>
    <t>Muut investoinnit</t>
  </si>
  <si>
    <t>Other investments</t>
  </si>
  <si>
    <t>Övriga investeringar</t>
  </si>
  <si>
    <t>Konserni</t>
  </si>
  <si>
    <t>Group</t>
  </si>
  <si>
    <t>Koncernen</t>
  </si>
  <si>
    <t>KOROLLINEN LAINAPÄÄOMA</t>
  </si>
  <si>
    <t>RÄNTEBÄRANDE FRÄMMANDE KAPITAL</t>
  </si>
  <si>
    <t>Lyhytaikaiset velat</t>
  </si>
  <si>
    <t>Current liabilities</t>
  </si>
  <si>
    <t>Vaihdettava pääomalaina</t>
  </si>
  <si>
    <t>Konvertibelt kapitallån</t>
  </si>
  <si>
    <t>Other comprehensive income</t>
  </si>
  <si>
    <t xml:space="preserve">  Power</t>
  </si>
  <si>
    <t xml:space="preserve">  Imatra</t>
  </si>
  <si>
    <t>Nettoinvesteringar i materiella och immateriella tillgångar</t>
  </si>
  <si>
    <t>Kursdifferenser</t>
  </si>
  <si>
    <t xml:space="preserve">   vinst / förlust vid värdering till verkligt värde efter skatt</t>
  </si>
  <si>
    <t>Holding %</t>
  </si>
  <si>
    <t>Italy</t>
  </si>
  <si>
    <t>Aineellinen käyttöomaisuus</t>
  </si>
  <si>
    <t>Property, plant and equipment</t>
  </si>
  <si>
    <t>Equity in associates</t>
  </si>
  <si>
    <t>Innehav i intresseföretag</t>
  </si>
  <si>
    <t>Shareholders' equity and liabilities</t>
  </si>
  <si>
    <t>Sammanställning över förändringar i eget kapital</t>
  </si>
  <si>
    <t>Statement of changes in shareholders' equity</t>
  </si>
  <si>
    <t>Dividends paid</t>
  </si>
  <si>
    <t>Resultat per aktie, euro</t>
  </si>
  <si>
    <t>Financial income and expenses</t>
  </si>
  <si>
    <t>Liiketoiminnan rahavirta:</t>
  </si>
  <si>
    <t>Cash flow from operating activities:</t>
  </si>
  <si>
    <t>Rörelseverksamhetens kassaflöde:</t>
  </si>
  <si>
    <t>Operating result</t>
  </si>
  <si>
    <t>Käyttöomaisuuden myyntivoitot ja -tappiot ja muut oikaisut</t>
  </si>
  <si>
    <t>Personnel costs</t>
  </si>
  <si>
    <t>JOHDANNAISTEN NIMELLISARVO</t>
  </si>
  <si>
    <t>NOMINAL VALUES OF DERIVATIVE INSTRUMENTS</t>
  </si>
  <si>
    <t>DERIVATINSTRUMENTENS NOMINELLA VÄRDEN</t>
  </si>
  <si>
    <t>Korko-optiot, ostetut</t>
  </si>
  <si>
    <t>Interest rate options, purchased</t>
  </si>
  <si>
    <t>Ränteoptioner, köpta</t>
  </si>
  <si>
    <t>Korko-optiot, asetetut</t>
  </si>
  <si>
    <t>Interest rate options, written</t>
  </si>
  <si>
    <t>Ränteoptioner, utfärdade</t>
  </si>
  <si>
    <t>Koronvaihtosopimukset</t>
  </si>
  <si>
    <t>Interest rate swaps</t>
  </si>
  <si>
    <t>Ränteswappar</t>
  </si>
  <si>
    <t>Korkofutuurit</t>
  </si>
  <si>
    <t>Interest rate futures</t>
  </si>
  <si>
    <t>Impairment testing of goodwill</t>
  </si>
  <si>
    <t>Investeringar i aktier och företagsförvärv</t>
  </si>
  <si>
    <t>Räkenskapsperiodens totalresultat</t>
  </si>
  <si>
    <t>Affärsområdessegment 1-6/2005</t>
  </si>
  <si>
    <t>Liiketoimintasegmentit 1-6/2006</t>
  </si>
  <si>
    <t>Denmark</t>
  </si>
  <si>
    <t>Sweden</t>
  </si>
  <si>
    <t>Germany</t>
  </si>
  <si>
    <t>Estonia</t>
  </si>
  <si>
    <t>Great Britain</t>
  </si>
  <si>
    <t>Poland</t>
  </si>
  <si>
    <t>Greece</t>
  </si>
  <si>
    <t>Turkey</t>
  </si>
  <si>
    <t>Egypt</t>
  </si>
  <si>
    <t>USA</t>
  </si>
  <si>
    <t>Canada</t>
  </si>
  <si>
    <t>Mexico</t>
  </si>
  <si>
    <t>Puerto Rico</t>
  </si>
  <si>
    <t>Dominican Republic</t>
  </si>
  <si>
    <t>Sri Lanka</t>
  </si>
  <si>
    <t>Guatemala</t>
  </si>
  <si>
    <t>Chile</t>
  </si>
  <si>
    <t>Ecuador</t>
  </si>
  <si>
    <t>Colombia</t>
  </si>
  <si>
    <t>Peru</t>
  </si>
  <si>
    <t>Argentina</t>
  </si>
  <si>
    <t>Singapore</t>
  </si>
  <si>
    <t>Hong Kong</t>
  </si>
  <si>
    <t>South Korea</t>
  </si>
  <si>
    <t>Taiwan</t>
  </si>
  <si>
    <t>Australia</t>
  </si>
  <si>
    <t>India</t>
  </si>
  <si>
    <t>Pakistan</t>
  </si>
  <si>
    <t>Total comprehensive income attributable to:</t>
  </si>
  <si>
    <t>Loans from other financial institutions*</t>
  </si>
  <si>
    <t>Employee benefit expenses</t>
  </si>
  <si>
    <t>30.06.2005</t>
  </si>
  <si>
    <t>31.12.2005</t>
  </si>
  <si>
    <t>Oma pääoma 30.06.2006</t>
  </si>
  <si>
    <t>Shareholders' equity on 30 June 2006</t>
  </si>
  <si>
    <t>Cash flow hedges after taxes</t>
  </si>
  <si>
    <t xml:space="preserve">Power </t>
  </si>
  <si>
    <t>Holdings</t>
  </si>
  <si>
    <t>Unallocated</t>
  </si>
  <si>
    <t xml:space="preserve">Group </t>
  </si>
  <si>
    <t xml:space="preserve">Placeringar </t>
  </si>
  <si>
    <t>Oallokerad</t>
  </si>
  <si>
    <t xml:space="preserve">Businesses </t>
  </si>
  <si>
    <t>affärsområden</t>
  </si>
  <si>
    <t>INTEREST-BEARING LOAN CAPITAL</t>
  </si>
  <si>
    <t>Personnel at end of period</t>
  </si>
  <si>
    <t>Affärsområdessegment 1-6/2006</t>
  </si>
  <si>
    <t>ACT2006</t>
  </si>
  <si>
    <t>WA</t>
  </si>
  <si>
    <t>CORP</t>
  </si>
  <si>
    <t>S300000</t>
  </si>
  <si>
    <t>S340001</t>
  </si>
  <si>
    <t>S400000</t>
  </si>
  <si>
    <t>S700000</t>
  </si>
  <si>
    <t>S500001</t>
  </si>
  <si>
    <t>S601001</t>
  </si>
  <si>
    <t>S800003</t>
  </si>
  <si>
    <t>S880000</t>
  </si>
  <si>
    <t>Totalt</t>
  </si>
  <si>
    <t>Takaukset ja vastuusitoumukset</t>
  </si>
  <si>
    <t>Guarantees and contingent liabilities</t>
  </si>
  <si>
    <t>Borgens- och ansvarsförbindelser</t>
  </si>
  <si>
    <t>Salaries and other short-term benefits</t>
  </si>
  <si>
    <t>Other members of the Board of Management</t>
  </si>
  <si>
    <t>Kertyneet</t>
  </si>
  <si>
    <t>voittovarat</t>
  </si>
  <si>
    <t>Earnings per share, EUR</t>
  </si>
  <si>
    <t>Nettovelkaantumisaste</t>
  </si>
  <si>
    <t>Eget kapital/aktie, euro</t>
  </si>
  <si>
    <t>Soliditet, %</t>
  </si>
  <si>
    <t>Nettoskuldsättningsgrad</t>
  </si>
  <si>
    <t>Tillgångar</t>
  </si>
  <si>
    <t>Wärtsilä Propulsion (Wuxi) Co. Ltd.</t>
  </si>
  <si>
    <t>Wärtsilä Taiwan Ltd.</t>
  </si>
  <si>
    <t>Wärtsilä Philippines Inc.</t>
  </si>
  <si>
    <t>PT. Wärtsilä Indonesia</t>
  </si>
  <si>
    <t>Wärtsilä Australia Pty Ltd.</t>
  </si>
  <si>
    <t>Wärtsilä Hyundai Engine Co Ltd.</t>
  </si>
  <si>
    <t>Non-controlling interests</t>
  </si>
  <si>
    <t>Change in inventories</t>
  </si>
  <si>
    <t>External services</t>
  </si>
  <si>
    <t>Effect of different tax rates in foreign subsidiaries</t>
  </si>
  <si>
    <t>Wärtsilä Brasil Ltda.</t>
  </si>
  <si>
    <t>CONDENSED CASH FLOW STATEMENT</t>
  </si>
  <si>
    <t>KASSAFLÖDESANALYS I SAMMANDRAG</t>
  </si>
  <si>
    <t>Government grants</t>
  </si>
  <si>
    <t xml:space="preserve">   För egen del</t>
  </si>
  <si>
    <t xml:space="preserve">   För intressebolag</t>
  </si>
  <si>
    <t xml:space="preserve">   On behalf of associated companies</t>
  </si>
  <si>
    <t xml:space="preserve">   Osakkuusyhtiöiden puolesta</t>
  </si>
  <si>
    <t xml:space="preserve">   Muiden puolesta</t>
  </si>
  <si>
    <t xml:space="preserve">Leasingvuokrasopimusten mukaisten </t>
  </si>
  <si>
    <t>vuokrien nimellisarvot</t>
  </si>
  <si>
    <t xml:space="preserve">Nominal amounts of rents according </t>
  </si>
  <si>
    <t>to leasing contracts</t>
  </si>
  <si>
    <t xml:space="preserve">Nominellt belopp av hyror </t>
  </si>
  <si>
    <t>enligt leasingavtal</t>
  </si>
  <si>
    <t>TULOSLASKELMA NELJÄNNEKSITTÄIN</t>
  </si>
  <si>
    <t>INCOME STATEMENT, QUARTERLY</t>
  </si>
  <si>
    <t>RESULTATRÄKNING PER KVARTAL</t>
  </si>
  <si>
    <t>Kassaflöde från övriga investeringar</t>
  </si>
  <si>
    <t>Rahoituksen rahavirta:</t>
  </si>
  <si>
    <t>Equity</t>
  </si>
  <si>
    <t>Other operating income</t>
  </si>
  <si>
    <t>Other operating expenses</t>
  </si>
  <si>
    <t>Bokvärde 1.1.</t>
  </si>
  <si>
    <t>Dividends</t>
  </si>
  <si>
    <t>Business segments 1-6/2006</t>
  </si>
  <si>
    <t>Other commitments</t>
  </si>
  <si>
    <t>Tulos/osake, EUR</t>
  </si>
  <si>
    <t>Laimennettu tulos/osake, EUR</t>
  </si>
  <si>
    <t>Investments available for sale</t>
  </si>
  <si>
    <t>Effect of changed tax rates</t>
  </si>
  <si>
    <t>Change in inventories of finished goods &amp; work in progress</t>
  </si>
  <si>
    <t>Return on equity (ROE)</t>
  </si>
  <si>
    <t>Rental accruals</t>
  </si>
  <si>
    <t>TEUR</t>
  </si>
  <si>
    <t>Change in deferred tax</t>
  </si>
  <si>
    <t>VAT liabilities</t>
  </si>
  <si>
    <t>Cash flow from financing activities:</t>
  </si>
  <si>
    <t>Finansieringens kassaflöde:</t>
  </si>
  <si>
    <t>Maksullinen osakeanti</t>
  </si>
  <si>
    <t>Other financial expenses</t>
  </si>
  <si>
    <t>Interest-bearing investments</t>
  </si>
  <si>
    <t>Interest-bearing receivables</t>
  </si>
  <si>
    <t>Trade receivables</t>
  </si>
  <si>
    <t>Fair value reserve</t>
  </si>
  <si>
    <t>Retained earnings</t>
  </si>
  <si>
    <t>Pension obligations</t>
  </si>
  <si>
    <t>Provisions</t>
  </si>
  <si>
    <t>Advances received</t>
  </si>
  <si>
    <t>Trade payables</t>
  </si>
  <si>
    <t>Fair value adjustments</t>
  </si>
  <si>
    <t>Investeringarnas kassaflöde</t>
  </si>
  <si>
    <t>Finansieringens kassaflöde</t>
  </si>
  <si>
    <t>Cash flow from financing activities</t>
  </si>
  <si>
    <t>Rahoituksen rahavirta</t>
  </si>
  <si>
    <t>Kohdista-</t>
  </si>
  <si>
    <t>mattomat</t>
  </si>
  <si>
    <t>Rahoitustuotot ja kulut sekä osingot</t>
  </si>
  <si>
    <t>Finansiella intäkter och kostnader, dividender</t>
  </si>
  <si>
    <t>Financial income and expenses, dividends</t>
  </si>
  <si>
    <t>Velat</t>
  </si>
  <si>
    <t>Liabilities</t>
  </si>
  <si>
    <t>Investments</t>
  </si>
  <si>
    <t>Skulder</t>
  </si>
  <si>
    <t>Investeringar</t>
  </si>
  <si>
    <t xml:space="preserve"> 1-3/2006</t>
  </si>
  <si>
    <t>Maantieteelliset segmentit</t>
  </si>
  <si>
    <t>Geographical segments</t>
  </si>
  <si>
    <t>Geografiska segment</t>
  </si>
  <si>
    <t>Eurooppa</t>
  </si>
  <si>
    <t>Aasia</t>
  </si>
  <si>
    <t>Amerikka</t>
  </si>
  <si>
    <t>Wärtsilä West Africa S.A.</t>
  </si>
  <si>
    <t>Laskelma oman pääoman muutoksista</t>
  </si>
  <si>
    <t>Omräkningsdifferenser</t>
  </si>
  <si>
    <t>Translation differences</t>
  </si>
  <si>
    <t>Muuntoerot</t>
  </si>
  <si>
    <t>Maksetut osingot</t>
  </si>
  <si>
    <t>Nettovinst på tillgångar som kan säljas</t>
  </si>
  <si>
    <t>Material and services</t>
  </si>
  <si>
    <t>Work performed by the Group and capitalised</t>
  </si>
  <si>
    <t>Gearing</t>
  </si>
  <si>
    <t>HENKILÖSTÖ</t>
  </si>
  <si>
    <t>PERSONNEL</t>
  </si>
  <si>
    <t>ANTAL ANSTÄLLDA</t>
  </si>
  <si>
    <t>Keskimäärin</t>
  </si>
  <si>
    <t>On average</t>
  </si>
  <si>
    <t>I medeltal</t>
  </si>
  <si>
    <t>Henkilöstö kauden lopussa</t>
  </si>
  <si>
    <t>Antal anställda i slutet av perioden</t>
  </si>
  <si>
    <t>VASTUUSITOUMUKSET</t>
  </si>
  <si>
    <t>Nettoinvestoinnit aineellisiin ja aineettomiin hyödykkeisiin</t>
  </si>
  <si>
    <t>Net investments in tangible and intangible assets</t>
  </si>
  <si>
    <t>Investoinnit osakkeisiin ja yritysostot</t>
  </si>
  <si>
    <t>Equity attributable to equity holders of the parent company</t>
  </si>
  <si>
    <t>Exchange rate differences on translating foreign operations</t>
  </si>
  <si>
    <t>Wärtsilä Land &amp; Sea Academy, Inc.</t>
  </si>
  <si>
    <t>Philippines</t>
  </si>
  <si>
    <t>Senegal</t>
  </si>
  <si>
    <t>Azerbaijan</t>
  </si>
  <si>
    <t>Cameroon</t>
  </si>
  <si>
    <t>Hungary</t>
  </si>
  <si>
    <t>Liabilities, non-interest-bearing, increase (+) / decrease (-)</t>
  </si>
  <si>
    <t>Anläggningstillgångar, långfristiga</t>
  </si>
  <si>
    <t>Wärtsilä Vostok, LLC</t>
  </si>
  <si>
    <t>Wärtsilä Hungary Kft</t>
  </si>
  <si>
    <t>Wärtsilä Azerbaijan LLC</t>
  </si>
  <si>
    <t>Wärtsilä Central Africa Ltd.</t>
  </si>
  <si>
    <t>Wärtsilä UK Ltd</t>
  </si>
  <si>
    <t>Panama</t>
  </si>
  <si>
    <t>Indonesia</t>
  </si>
  <si>
    <t>Financial items and taxes:</t>
  </si>
  <si>
    <t>Interest and other financial expenses</t>
  </si>
  <si>
    <t>S110000</t>
  </si>
  <si>
    <t>S148010</t>
  </si>
  <si>
    <t>Total assets</t>
  </si>
  <si>
    <t>Total equity and liabilities</t>
  </si>
  <si>
    <t>Depreciation, amortisation and impairment</t>
  </si>
  <si>
    <t>Proceeds from sale of property, plant and equipment and intangible assets</t>
  </si>
  <si>
    <t>Investments in property, plant and equipment and intangible assets</t>
  </si>
  <si>
    <t>Order book</t>
  </si>
  <si>
    <t>osuus</t>
  </si>
  <si>
    <t>Eget kapital 31.12.2004</t>
  </si>
  <si>
    <t>Power</t>
  </si>
  <si>
    <t>liiketoiminta</t>
  </si>
  <si>
    <t>Imatra</t>
  </si>
  <si>
    <t>Steel</t>
  </si>
  <si>
    <t>Långfristiga skulder</t>
  </si>
  <si>
    <t>BRUTTOINVESTOINNIT</t>
  </si>
  <si>
    <t>GROSS CAPITAL EXPENDITURE</t>
  </si>
  <si>
    <t>BRUTTOINVESTERINGAR</t>
  </si>
  <si>
    <t>Osakkeet ja yritysostot</t>
  </si>
  <si>
    <t>Investments in securities and acquisitions</t>
  </si>
  <si>
    <t>Aktier och företagsköp</t>
  </si>
  <si>
    <t xml:space="preserve">   Imatra Steel</t>
  </si>
  <si>
    <t>Sale of scrapped material</t>
  </si>
  <si>
    <t>Other accruals</t>
  </si>
  <si>
    <t>VAT receivables</t>
  </si>
  <si>
    <t>Non-current</t>
  </si>
  <si>
    <t>Current</t>
  </si>
  <si>
    <t>Issuance of share capital</t>
  </si>
  <si>
    <t>Aktieteckning</t>
  </si>
  <si>
    <t>Tillämpning av IAS 39 1.1.2005</t>
  </si>
  <si>
    <t>IAS 39:n soveltaminen 1.1.2005</t>
  </si>
  <si>
    <t>Myytävissä olevien sijoitusten</t>
  </si>
  <si>
    <t>Available-for-sale investments</t>
  </si>
  <si>
    <t>Finansiella tillgångar som kan säljas</t>
  </si>
  <si>
    <t xml:space="preserve">   arvonmuutokset verojen jälkeen</t>
  </si>
  <si>
    <t xml:space="preserve">   siirretty tuloslaskelmaan, veroilla vähennettynä</t>
  </si>
  <si>
    <t xml:space="preserve">   redovisats över resultaträkning efter skatt</t>
  </si>
  <si>
    <t>Equity price risk</t>
  </si>
  <si>
    <t>Suoraan omaan pääomaan kirjatut nettotuotot</t>
  </si>
  <si>
    <t xml:space="preserve">   Samaan konserniin kuuluvien yritysten puolesta</t>
  </si>
  <si>
    <t>Cash flow hedges</t>
  </si>
  <si>
    <t>Kassaflödessäkring</t>
  </si>
  <si>
    <t>Bangladesh</t>
  </si>
  <si>
    <t>Saudi Arabia</t>
  </si>
  <si>
    <t>United Arab Emirates</t>
  </si>
  <si>
    <t>South Africa</t>
  </si>
  <si>
    <t>Kenya</t>
  </si>
  <si>
    <t>Till moderbolagets aktieägare</t>
  </si>
  <si>
    <t>Vähemmistö-</t>
  </si>
  <si>
    <t>Minority</t>
  </si>
  <si>
    <t>Minoritets-</t>
  </si>
  <si>
    <t>yhteensä</t>
  </si>
  <si>
    <t>Fair value</t>
  </si>
  <si>
    <t>equity</t>
  </si>
  <si>
    <t>Fond för</t>
  </si>
  <si>
    <t>intressen</t>
  </si>
  <si>
    <t>totalt</t>
  </si>
  <si>
    <t>Osake-</t>
  </si>
  <si>
    <t>Ylikurssi</t>
  </si>
  <si>
    <t>Share</t>
  </si>
  <si>
    <t>Share issue</t>
  </si>
  <si>
    <t>Translation</t>
  </si>
  <si>
    <t>and other</t>
  </si>
  <si>
    <t>Retained</t>
  </si>
  <si>
    <t>Aktie-</t>
  </si>
  <si>
    <t>Överkurs-</t>
  </si>
  <si>
    <t>Omräknings-</t>
  </si>
  <si>
    <t>verkligt</t>
  </si>
  <si>
    <t>Balanserad</t>
  </si>
  <si>
    <t>capital</t>
  </si>
  <si>
    <t>premium</t>
  </si>
  <si>
    <t>differences</t>
  </si>
  <si>
    <t>reserves</t>
  </si>
  <si>
    <t xml:space="preserve">Total </t>
  </si>
  <si>
    <t>Net deferred tax assets/liabilities</t>
  </si>
  <si>
    <t>Investments in shares and acquisitions</t>
  </si>
  <si>
    <t>Rahavirta muista investoinneista</t>
  </si>
  <si>
    <t>Net income recognized directly in equity</t>
  </si>
  <si>
    <t>Direkt mot eget kapital redovisade nettointäkter</t>
  </si>
  <si>
    <t>Profit for the financial period</t>
  </si>
  <si>
    <t>Solvency ratio</t>
  </si>
  <si>
    <t>Equity per share</t>
  </si>
  <si>
    <t>Forsknings- och utvecklingskostnader</t>
  </si>
  <si>
    <t>* Estimated interest expenses, total</t>
  </si>
  <si>
    <t>Sitten tekstin luvut olisi samat kuin viimeisessä taulokossa:</t>
  </si>
  <si>
    <t>Sivu 1 vaihtoehto:</t>
  </si>
  <si>
    <t>Wärtsilän liiketoiminta käsittää Power-liiketoiminnat, jotka ovat Ship Power-, Services- ja Power Plants-liiketoiminnot, sekä sijoitukset.</t>
  </si>
  <si>
    <t>Litigation</t>
  </si>
  <si>
    <t>Used provisions</t>
  </si>
  <si>
    <t>Total financial income</t>
  </si>
  <si>
    <t>Total financial expenses</t>
  </si>
  <si>
    <t>Change in liquid funds, increase (+) / decrease (-)</t>
  </si>
  <si>
    <t>Likvidien varojen muutos, lisäys (+) / vähennys (-)</t>
  </si>
  <si>
    <t>Net sales</t>
  </si>
  <si>
    <t>Total liabilities</t>
  </si>
  <si>
    <t>Share of profit of associates</t>
  </si>
  <si>
    <t>Depreciation and impairment</t>
  </si>
  <si>
    <t>Total shareholders' equity</t>
  </si>
  <si>
    <t>Eget kapital totalt</t>
  </si>
  <si>
    <t>Net sales 1-3/2006</t>
  </si>
  <si>
    <t>Net sales 1-3/2005</t>
  </si>
  <si>
    <t>Diluted earnings per share, EUR</t>
  </si>
  <si>
    <t>Interest and other financial items</t>
  </si>
  <si>
    <t>Currency forwards</t>
  </si>
  <si>
    <t>Räntefuturer</t>
  </si>
  <si>
    <t>Deferred tax assets</t>
  </si>
  <si>
    <t>Tax loss carry-forwards</t>
  </si>
  <si>
    <t>Nominal values of derivative financial instruments (level 2)</t>
  </si>
  <si>
    <t>Interest rate risk</t>
  </si>
  <si>
    <t>Loan receivables, increase (-) / decrease (+)</t>
  </si>
  <si>
    <t>Räkenskapsperiodens resultat</t>
  </si>
  <si>
    <t>Rörelseresultat</t>
  </si>
  <si>
    <t>Tulos/osake</t>
  </si>
  <si>
    <t>Vaihto-omaisuus</t>
  </si>
  <si>
    <t>Intangible assets</t>
  </si>
  <si>
    <t>Inventories</t>
  </si>
  <si>
    <t>Other receivables</t>
  </si>
  <si>
    <t>Immateriella tillgångar</t>
  </si>
  <si>
    <t>Materiella anläggningstillgångar</t>
  </si>
  <si>
    <t>Rahavarat</t>
  </si>
  <si>
    <t>Cash and cash equivalents</t>
  </si>
  <si>
    <t>Likvida medel</t>
  </si>
  <si>
    <t>Minoritetsintressen</t>
  </si>
  <si>
    <t>Osuudet osakkuusyrityksissä</t>
  </si>
  <si>
    <t>Varor i lager</t>
  </si>
  <si>
    <t>Varat</t>
  </si>
  <si>
    <t>Assets</t>
  </si>
  <si>
    <t>Power-liiketoiminnat</t>
  </si>
  <si>
    <t>Myytävissä olevat sijoitukset</t>
  </si>
  <si>
    <t>-</t>
  </si>
  <si>
    <t>EUR</t>
  </si>
  <si>
    <t>Proceeds from sale of shares</t>
  </si>
  <si>
    <t xml:space="preserve">Company name </t>
  </si>
  <si>
    <t>Location</t>
  </si>
  <si>
    <t>Share %</t>
  </si>
  <si>
    <t>Oma pääoma yhteensä</t>
  </si>
  <si>
    <t>S104000</t>
  </si>
  <si>
    <t>S101000</t>
  </si>
  <si>
    <t>Total recognized income an expense for the period</t>
  </si>
  <si>
    <t>Totalt redovisade intäkter och kostnader under perioden</t>
  </si>
  <si>
    <t>Osakepääoman korotus optioiden käytön johdosta</t>
  </si>
  <si>
    <t>Options exercised</t>
  </si>
  <si>
    <t>Konvertering av optioner</t>
  </si>
  <si>
    <t>Oma pääoma  31.12.2005</t>
  </si>
  <si>
    <t>Eget kapital 31.12.2005</t>
  </si>
  <si>
    <t>Shareholders' equity on 31 December  2005</t>
  </si>
  <si>
    <t>Liiketoiminnan rahavirta</t>
  </si>
  <si>
    <t>Cash flow from operating activities</t>
  </si>
  <si>
    <t>Rörelseverksamhetens kassaflöde</t>
  </si>
  <si>
    <t>Investointien rahavirta</t>
  </si>
  <si>
    <t>Cash flow from investing activities</t>
  </si>
  <si>
    <t>WÄRTSILÄ-KONSERNI, TILINTARKASTAMATON</t>
  </si>
  <si>
    <t>Käytetyt optio-oikeudet</t>
  </si>
  <si>
    <t>SOLVENCY1</t>
  </si>
  <si>
    <t>Income taxes</t>
  </si>
  <si>
    <t>Currency options, written</t>
  </si>
  <si>
    <t>Valutaoptioner, utfärdade</t>
  </si>
  <si>
    <t>Kokonaismäärä</t>
  </si>
  <si>
    <t>josta suljettu</t>
  </si>
  <si>
    <t>Minority interest</t>
  </si>
  <si>
    <t>Kortfristiga skulder</t>
  </si>
  <si>
    <t>Vuonna 2005 toisen liiketoimintasegmentin muodostanut Imatra Steel siirtyi osaksi Oy Ovako Ab:ta.  Vertailukelpoisuuden</t>
  </si>
  <si>
    <t>KATSAUSKAUSI 1-3/2006 LYHYESTI</t>
  </si>
  <si>
    <t xml:space="preserve"> 1-6/2005</t>
  </si>
  <si>
    <t>Foreign exchange forward contracts</t>
  </si>
  <si>
    <t>Resultat per aktie efter utspädning, euro</t>
  </si>
  <si>
    <t>Income related to cancelled orders*</t>
  </si>
  <si>
    <t>Interest income on financial assets at fair value through the statement of income</t>
  </si>
  <si>
    <t>Changes in fair values of financial assets/liabilities at fair value through the statement of income</t>
  </si>
  <si>
    <t>Interest expenses on financial liabilities at fair value through the statement of income</t>
  </si>
  <si>
    <t>Equity and liabilities</t>
  </si>
  <si>
    <t>Thousands of shares</t>
  </si>
  <si>
    <t>Europe</t>
  </si>
  <si>
    <t>Asia</t>
  </si>
  <si>
    <t>Other</t>
  </si>
  <si>
    <t>Liikevaihto</t>
  </si>
  <si>
    <t>Kulut</t>
  </si>
  <si>
    <t>Rahoitustuotot ja -kulut</t>
  </si>
  <si>
    <t>Vähemmistöosuus</t>
  </si>
  <si>
    <t>Tilikauden tulos</t>
  </si>
  <si>
    <t>Osakepääoma</t>
  </si>
  <si>
    <t>Muu oma pääoma</t>
  </si>
  <si>
    <t>Yhteensä</t>
  </si>
  <si>
    <t>Imatra Steel</t>
  </si>
  <si>
    <t>Tulos ennen veroja</t>
  </si>
  <si>
    <t>Poistot ja arvonalentumiset</t>
  </si>
  <si>
    <t>Avskrivningar och nedskrivningar</t>
  </si>
  <si>
    <t>Betalda dividender</t>
  </si>
  <si>
    <t>CF3100</t>
  </si>
  <si>
    <t>CF3900</t>
  </si>
  <si>
    <t>CF4200</t>
  </si>
  <si>
    <t>CF4250</t>
  </si>
  <si>
    <t>CF4600</t>
  </si>
  <si>
    <t>CF6500</t>
  </si>
  <si>
    <t>CF7000</t>
  </si>
  <si>
    <t>CF8200</t>
  </si>
  <si>
    <t>CF8300</t>
  </si>
  <si>
    <t>CF11400</t>
  </si>
  <si>
    <t>CF9700</t>
  </si>
  <si>
    <t>CF10200</t>
  </si>
  <si>
    <t>CF10750</t>
  </si>
  <si>
    <t>CF8500</t>
  </si>
  <si>
    <t>CF11800</t>
  </si>
  <si>
    <t>WÄRTSILÄKONCERNEN, OREVIDERADE</t>
  </si>
  <si>
    <t>WÄRTSILÄ GROUP, UNAUDITED</t>
  </si>
  <si>
    <t>Aineeton käyttöomaisuus</t>
  </si>
  <si>
    <t>BRL</t>
  </si>
  <si>
    <t>Wärtsilä Caribbean, Inc.</t>
  </si>
  <si>
    <t>Materials and consumables</t>
  </si>
  <si>
    <t>Wärtsilä Canada Inc.</t>
  </si>
  <si>
    <t>Acquired shares</t>
  </si>
  <si>
    <t>Förvärv av aktier</t>
  </si>
  <si>
    <t>Capital risk management</t>
  </si>
  <si>
    <t>Fair values of derivative financial instruments (level 2)</t>
  </si>
  <si>
    <t>Tax charge in the consolidated statement of income</t>
  </si>
  <si>
    <t>Unrecognised taxes on losses carried forward</t>
  </si>
  <si>
    <t>From the consolidated statement of income</t>
  </si>
  <si>
    <t>Muut</t>
  </si>
  <si>
    <t>Liikevaihto 1-3/2006</t>
  </si>
  <si>
    <t>Omsättning 1-3/2006</t>
  </si>
  <si>
    <t>Liikevaihto 1-3/2005</t>
  </si>
  <si>
    <t>Omsättning 1-3/2005</t>
  </si>
  <si>
    <t xml:space="preserve"> 4-6/2005</t>
  </si>
  <si>
    <t xml:space="preserve"> 7-9/2005</t>
  </si>
  <si>
    <t xml:space="preserve"> 10-12/2005</t>
  </si>
  <si>
    <t>Övriga intäkter</t>
  </si>
  <si>
    <t>Other income</t>
  </si>
  <si>
    <t>Muut tuotot</t>
  </si>
  <si>
    <t>Profit before taxes</t>
  </si>
  <si>
    <t>Taxes for the period</t>
  </si>
  <si>
    <t>Tilikauden verot</t>
  </si>
  <si>
    <t>Periodens skatter</t>
  </si>
  <si>
    <t>Other changes</t>
  </si>
  <si>
    <t>Total</t>
  </si>
  <si>
    <t>Milj. euroa</t>
  </si>
  <si>
    <t>Expenses</t>
  </si>
  <si>
    <t>Förändring av likvida medel, ökning (+) / minskning (-)</t>
  </si>
  <si>
    <t>Interest-bearing debt</t>
  </si>
  <si>
    <t>Räntebärande lån</t>
  </si>
  <si>
    <t>Others</t>
  </si>
  <si>
    <t>CNY</t>
  </si>
  <si>
    <t>Pitkäaikaisten lainojen nostot</t>
  </si>
  <si>
    <t>New long-term loans</t>
  </si>
  <si>
    <t>Upptagna långfristiga lån</t>
  </si>
  <si>
    <t>Pitkäaikaisten lainojen takaisinmaksut ja muut muutokset</t>
  </si>
  <si>
    <t>Amortering av långfristiga lån</t>
  </si>
  <si>
    <t xml:space="preserve">Maksetut osingot </t>
  </si>
  <si>
    <t xml:space="preserve">Lyhytaikaisten lainojen muutos ja muut muutokset </t>
  </si>
  <si>
    <t>Changes in short term loans and other financing activities</t>
  </si>
  <si>
    <t>Wärtsilä Qiyao Diesel Company Ltd.</t>
  </si>
  <si>
    <t>Wages and salaries</t>
  </si>
  <si>
    <t>Pension costs</t>
  </si>
  <si>
    <t>Personnel on average</t>
  </si>
  <si>
    <t xml:space="preserve">   gain / loss from fair valuation, net of taxes</t>
  </si>
  <si>
    <t>CONTINGENT LIABILITIES</t>
  </si>
  <si>
    <t>ANSVARSFÖRBINDELSER</t>
  </si>
  <si>
    <t>check</t>
  </si>
  <si>
    <t>Arvon-</t>
  </si>
  <si>
    <t>muutos-</t>
  </si>
  <si>
    <t>Muut muutokset</t>
  </si>
  <si>
    <t>Övriga förändringar</t>
  </si>
  <si>
    <t>pääoma</t>
  </si>
  <si>
    <t>rahasto</t>
  </si>
  <si>
    <t>Muunto-</t>
  </si>
  <si>
    <t>erot</t>
  </si>
  <si>
    <t>Impairments</t>
  </si>
  <si>
    <t>Eget kapital 30.06.2006</t>
  </si>
  <si>
    <t>Liiketoimintasegmentit 1-6/2005</t>
  </si>
  <si>
    <t>Business segments 1-6/2005</t>
  </si>
  <si>
    <t>Wärtsilä Guatemala S.A.</t>
  </si>
  <si>
    <t>Effect of income not subject to tax and non-deductible expenses</t>
  </si>
  <si>
    <t>Wärtsilä Argentina S.A.</t>
  </si>
  <si>
    <t>Return on investment (ROI)</t>
  </si>
  <si>
    <t>Profit before taxes + interest and other financial expenses</t>
  </si>
  <si>
    <t>of which outside Finland</t>
  </si>
  <si>
    <t>Exports from Finland</t>
  </si>
  <si>
    <t>of which in Finland</t>
  </si>
  <si>
    <t>Övriga skulder</t>
  </si>
  <si>
    <t>Other liabilities</t>
  </si>
  <si>
    <t>Aktiva</t>
  </si>
  <si>
    <t>Passiva</t>
  </si>
  <si>
    <t>Vastattavaa</t>
  </si>
  <si>
    <t>LYHENNETTY RAHAVIRTALASKELMA</t>
  </si>
  <si>
    <t>Förmånsbestämda planer</t>
  </si>
  <si>
    <t>Defined benefit plans</t>
  </si>
  <si>
    <t>Other compulsory personnel costs</t>
  </si>
  <si>
    <t>From the consolidated statement of financial position</t>
  </si>
  <si>
    <t>Finland</t>
  </si>
  <si>
    <t>1. Segment information</t>
  </si>
  <si>
    <t>Net income from assets available for sale</t>
  </si>
  <si>
    <t xml:space="preserve">   För övriga</t>
  </si>
  <si>
    <t xml:space="preserve">   On behalf of others</t>
  </si>
  <si>
    <t>MEUR</t>
  </si>
  <si>
    <t>Cash flow from other investing activities</t>
  </si>
  <si>
    <t>Cash and cash equivalents at beginning of period</t>
  </si>
  <si>
    <t>Exchange rate changes</t>
  </si>
  <si>
    <t>interest</t>
  </si>
  <si>
    <t>Shareholders' equity on 31 December 2004</t>
  </si>
  <si>
    <t>Oma pääoma 31.12.2004</t>
  </si>
  <si>
    <t xml:space="preserve">   gain/loss from fair valuation, net of taxes</t>
  </si>
  <si>
    <t xml:space="preserve">   transferred to income statement, net of taxes</t>
  </si>
  <si>
    <t>Resultat per aktie hänförligt till moderbolagets aktieägare:</t>
  </si>
  <si>
    <t>Muut  varat</t>
  </si>
  <si>
    <t>Muut varat</t>
  </si>
  <si>
    <t>Övriga tillgångar</t>
  </si>
  <si>
    <t>Non-current liabilities</t>
  </si>
  <si>
    <t>Luovutustulot osakkeista</t>
  </si>
  <si>
    <t xml:space="preserve">Advances paid </t>
  </si>
  <si>
    <t>Other intangible assets</t>
  </si>
  <si>
    <t>Buildings and structures</t>
  </si>
  <si>
    <t>Machinery and equipment</t>
  </si>
  <si>
    <t>Other tangible assets</t>
  </si>
  <si>
    <t>Realisationsvinster och -förluster på anläggninhstillgångar och övriga korrektivposter</t>
  </si>
  <si>
    <t xml:space="preserve"> </t>
  </si>
  <si>
    <t>Osuus osakkuusyhtiöiden tuloksesta</t>
  </si>
  <si>
    <t>LYHENNETTY TULOSLASKELMA</t>
  </si>
  <si>
    <t>CONDENSED INCOME STATEMENT</t>
  </si>
  <si>
    <t>RESULTATRÄKNING I SAMMANDRAG</t>
  </si>
  <si>
    <t>LYHENNETTY TASE</t>
  </si>
  <si>
    <t>CONDENSED BALANCE SHEET</t>
  </si>
  <si>
    <t>BALANSRÄKNING I SAMMANDRAG</t>
  </si>
  <si>
    <t>Laskennalliset verosaamiset</t>
  </si>
  <si>
    <t>Deferred tax receivables</t>
  </si>
  <si>
    <t>Uppskjuten skattefordran</t>
  </si>
  <si>
    <t>Emoyhtiön omistajille kuuluva oma pääoma</t>
  </si>
  <si>
    <t>Eget kapital som tillhör moderbolagets aktieägare</t>
  </si>
  <si>
    <t>Laskennalliset verovelat</t>
  </si>
  <si>
    <t>Deferred tax liabilities</t>
  </si>
  <si>
    <t>Uppskjuten skatteskuld</t>
  </si>
  <si>
    <t>Korolliset velat</t>
  </si>
  <si>
    <t>Wärtsilä Finland Oy</t>
  </si>
  <si>
    <t>Wärtsilä Italia S.p.A.</t>
  </si>
  <si>
    <t>Wärtsilä France S.A.S.</t>
  </si>
  <si>
    <t>Wärtsilä Danmark A/S</t>
  </si>
  <si>
    <t>Wärtsilä Sweden AB</t>
  </si>
  <si>
    <t>Wärtsilä Ibérica S.A.</t>
  </si>
  <si>
    <t>Wärtsilä Deutschland GmbH</t>
  </si>
  <si>
    <t>Wärtsilä BLRT Estonia Oü</t>
  </si>
  <si>
    <t>Wärtsilä Polska Sp.z.o.o.</t>
  </si>
  <si>
    <t>Wärtsilä Greece S.A.</t>
  </si>
  <si>
    <t>Wärtsilä-Enpa A.S.</t>
  </si>
  <si>
    <t>Total equity and liabilities – advances received</t>
  </si>
  <si>
    <t>Interest-bearing liabilities – cash and cash equivalents</t>
  </si>
  <si>
    <t>The Netherlands</t>
  </si>
  <si>
    <t>Spain</t>
  </si>
  <si>
    <t>Japan</t>
  </si>
  <si>
    <t>Russia</t>
  </si>
  <si>
    <t>Business transactions with the associated companies and joint ventures</t>
  </si>
  <si>
    <t>S148000</t>
  </si>
  <si>
    <t>S182200</t>
  </si>
  <si>
    <t>S124000</t>
  </si>
  <si>
    <t>S126001</t>
  </si>
  <si>
    <t>S130000</t>
  </si>
  <si>
    <t>S180000</t>
  </si>
  <si>
    <t>S170000</t>
  </si>
  <si>
    <t>S151001</t>
  </si>
  <si>
    <t>S150002</t>
  </si>
  <si>
    <t>CHECK</t>
  </si>
  <si>
    <t>S200000</t>
  </si>
  <si>
    <t>S231001</t>
  </si>
  <si>
    <t>S239300</t>
  </si>
  <si>
    <t>S241000</t>
  </si>
  <si>
    <t>S259300</t>
  </si>
  <si>
    <t>S800008</t>
  </si>
  <si>
    <t xml:space="preserve">Note! </t>
  </si>
  <si>
    <t>not included!</t>
  </si>
  <si>
    <t>S350000</t>
  </si>
  <si>
    <t>S710000</t>
  </si>
  <si>
    <t>ACT2005</t>
  </si>
  <si>
    <t>blue equals manual inputs</t>
  </si>
  <si>
    <t>Rahoituserät ja tuloverot</t>
  </si>
  <si>
    <t>Net financial items and income taxes</t>
  </si>
  <si>
    <t>CF3400</t>
  </si>
  <si>
    <t>Total equity attributable to equity holders of the parent</t>
  </si>
  <si>
    <t>Wärtsilä Chile Ltda.</t>
  </si>
  <si>
    <t>Wärtsilä Colombia S.A.</t>
  </si>
  <si>
    <t>Wärtsilä Ecuador S.A.</t>
  </si>
  <si>
    <t>Valuuttatermiinit</t>
  </si>
  <si>
    <t>Valutaterminer</t>
  </si>
  <si>
    <t>Valuuttaoptiot, osteutut</t>
  </si>
  <si>
    <t>Intangible assets and property, plant and equipment</t>
  </si>
  <si>
    <t>Aging of trade receivables</t>
  </si>
  <si>
    <t>Not past due</t>
  </si>
  <si>
    <t>Changes in exchange rates</t>
  </si>
  <si>
    <t>Additions</t>
  </si>
  <si>
    <t>Other financial income</t>
  </si>
  <si>
    <t>Non-current financial assets</t>
  </si>
  <si>
    <t>Current financial assets</t>
  </si>
  <si>
    <t>Liiketulos</t>
  </si>
  <si>
    <t>Currency options, purchased</t>
  </si>
  <si>
    <t>Valutaoptioner, köpta</t>
  </si>
  <si>
    <t>Valuuttaoptiot, asetetut</t>
  </si>
  <si>
    <t>Resultatandel i intresse- och samföretag</t>
  </si>
  <si>
    <t>Cash flow after investing activities</t>
  </si>
  <si>
    <t>Sensitivity analysis</t>
  </si>
  <si>
    <t>vuoksi alla on esitetty vuoden 2005 liikevaihto, liiketulos ja tulos ennen veroja ilman Imatra Steeliä.</t>
  </si>
  <si>
    <t>Korolliset nettovelat kauden lopussa</t>
  </si>
  <si>
    <t>Bruttoinvesoinnit</t>
  </si>
  <si>
    <t>Earnings per share attributable to equity holders of the parent company:</t>
  </si>
  <si>
    <t>Emoyhtiön osakkeenomistajille kuuluva osakekohtainen tulos:</t>
  </si>
  <si>
    <t>Released provisions</t>
  </si>
  <si>
    <t>Maarit Aarni-Sirviö, member</t>
  </si>
  <si>
    <t>Cash flow before changes in working capital</t>
  </si>
  <si>
    <t>Wärtsilä China Ltd.</t>
  </si>
  <si>
    <t>Switzerland</t>
  </si>
  <si>
    <t>France</t>
  </si>
  <si>
    <t>Other temporary differences</t>
  </si>
  <si>
    <t>40.0</t>
  </si>
  <si>
    <t>50.0</t>
  </si>
  <si>
    <t>&lt; 1 year</t>
  </si>
  <si>
    <t>&gt; 5 years</t>
  </si>
  <si>
    <t>The following remuneration was paid to auditors and accounting firms for audit based on applicable legislation and for other services.</t>
  </si>
  <si>
    <t>Equity holders of the parent company</t>
  </si>
  <si>
    <t>Sale of by-products</t>
  </si>
  <si>
    <t>USD</t>
  </si>
  <si>
    <t>NOK</t>
  </si>
  <si>
    <t>CHF</t>
  </si>
  <si>
    <t>SGD</t>
  </si>
  <si>
    <t>Collateral</t>
  </si>
  <si>
    <t>Mortgages given as collateral for liabilities and commitments</t>
  </si>
  <si>
    <t>Loans from credit institutions</t>
  </si>
  <si>
    <t>Kaudelle kirjatut tuotot ja kulut yhteensä</t>
  </si>
  <si>
    <t>as a percentage of net sales</t>
  </si>
  <si>
    <t>Non-interest-bearing liabilities</t>
  </si>
  <si>
    <t>Gross capital expenditure</t>
  </si>
  <si>
    <t>Financial ratios</t>
  </si>
  <si>
    <t>Dividend per share</t>
  </si>
  <si>
    <t>Dividend per earnings</t>
  </si>
  <si>
    <t>Interest coverage</t>
  </si>
  <si>
    <t>Wärtsilä North America, Inc.</t>
  </si>
  <si>
    <t>Wärtsilä Defence Inc.</t>
  </si>
  <si>
    <t>on behalf of Group companies</t>
  </si>
  <si>
    <t>Goodwill</t>
  </si>
  <si>
    <t>Acquisitions</t>
  </si>
  <si>
    <t>Note</t>
  </si>
  <si>
    <t>%</t>
  </si>
  <si>
    <t>Selling profit and loss of fixed assets and other adjustments</t>
  </si>
  <si>
    <t>Käyttöpääoman muutos</t>
  </si>
  <si>
    <t>Changes in working capital</t>
  </si>
  <si>
    <t>Förändring av rörelsekapital</t>
  </si>
  <si>
    <t>Liiketoiminnan rahavirta ennen rahoituseriä ja veroja</t>
  </si>
  <si>
    <t>Cash flow from operating activities before financial items and taxes</t>
  </si>
  <si>
    <t>Rörelseverksamhetens kassaflöde före finansiella poster och skatter</t>
  </si>
  <si>
    <t>Investointien rahavirta:</t>
  </si>
  <si>
    <t>Cash flow from investing activities:</t>
  </si>
  <si>
    <t>Investeringarnas kassaflöde:</t>
  </si>
  <si>
    <t>Share premium</t>
  </si>
  <si>
    <t>Income taxes paid</t>
  </si>
  <si>
    <t>Financial items and paid taxes</t>
  </si>
  <si>
    <t>Adjustments for:</t>
  </si>
  <si>
    <t>Share 
premium</t>
  </si>
  <si>
    <t>Defined contribution plans</t>
  </si>
  <si>
    <t>net change in fair value, net of taxes</t>
  </si>
  <si>
    <t>Value of finance-leased assets included in carrying amount</t>
  </si>
  <si>
    <t>Share
premium</t>
  </si>
  <si>
    <t>Audit</t>
  </si>
  <si>
    <t>Tax advisory</t>
  </si>
  <si>
    <t>Other services</t>
  </si>
  <si>
    <t>Past due 31–180 days</t>
  </si>
  <si>
    <t>Past due 181–360 days</t>
  </si>
  <si>
    <t>Markus Rauramo, member</t>
  </si>
  <si>
    <t>Price/carrying amount per share (P/BV)</t>
  </si>
  <si>
    <t>The notes are an integral part of these consolidated financial statements.</t>
  </si>
  <si>
    <t>SEK</t>
  </si>
  <si>
    <t>Past due 1–30 days</t>
  </si>
  <si>
    <t>Other Europe</t>
  </si>
  <si>
    <t>51.7</t>
  </si>
  <si>
    <t>100.0</t>
  </si>
  <si>
    <t>60.0</t>
  </si>
  <si>
    <t>55.0</t>
  </si>
  <si>
    <t>Wärtsilä Dominicana Inc.</t>
  </si>
  <si>
    <t>Total equity attributable to equity holders of the parent company</t>
  </si>
  <si>
    <t>The Americas</t>
  </si>
  <si>
    <t>Summary of financial information (100%):</t>
  </si>
  <si>
    <t>measured at fair value</t>
  </si>
  <si>
    <t>* Expenses related to cancelled orders are recorded on respective expense accounts.</t>
  </si>
  <si>
    <t>transferred to the statement of income</t>
  </si>
  <si>
    <t>Change in cash and cash equivalents, increase (+) / decrease (-)</t>
  </si>
  <si>
    <t>transferred to the statement of income, net of taxes</t>
  </si>
  <si>
    <t>Non-
controlling
interests</t>
  </si>
  <si>
    <t>Interest expenses on financial liabilities recognised at amortised cost</t>
  </si>
  <si>
    <t>Interest income on loans and receivables</t>
  </si>
  <si>
    <t>Other
tangible
assets</t>
  </si>
  <si>
    <t>Profit 
for the 
financial 
period</t>
  </si>
  <si>
    <t>Joint ventures</t>
  </si>
  <si>
    <t>Associated companies</t>
  </si>
  <si>
    <t>Transferred to the statement of income, net of taxes</t>
  </si>
  <si>
    <t>Share capital and number of shares</t>
  </si>
  <si>
    <t>Onerous 
contracts</t>
  </si>
  <si>
    <t>Other 
provisions</t>
  </si>
  <si>
    <t>Estimated contractual cash flows</t>
  </si>
  <si>
    <t>Other 
intangible 
assets</t>
  </si>
  <si>
    <t>Land 
and 
water</t>
  </si>
  <si>
    <t>Carrying 
amounts 
of the 
statement 
of financial 
position 
items</t>
  </si>
  <si>
    <t>Fair 
value</t>
  </si>
  <si>
    <t>2. Acquisitions</t>
  </si>
  <si>
    <t>Other taxes*</t>
  </si>
  <si>
    <t>Payable between one and five years</t>
  </si>
  <si>
    <t>Brazil Real</t>
  </si>
  <si>
    <t>Switzerland Franc</t>
  </si>
  <si>
    <t>China Yuan Renminbi</t>
  </si>
  <si>
    <t>United Kingdom Pound</t>
  </si>
  <si>
    <t>India Rupee</t>
  </si>
  <si>
    <t>Japan Yen</t>
  </si>
  <si>
    <t>Norway Krone</t>
  </si>
  <si>
    <t>Sweden Krona</t>
  </si>
  <si>
    <t>Singapore Dollar</t>
  </si>
  <si>
    <t>United States Dollar</t>
  </si>
  <si>
    <t>Total comprehensive income for the financial period</t>
  </si>
  <si>
    <t>Insurance indemnities</t>
  </si>
  <si>
    <t>Wärtsilä Valves Ltd</t>
  </si>
  <si>
    <t>Wärtsilä Moss AS</t>
  </si>
  <si>
    <t>SAR</t>
  </si>
  <si>
    <t>Five years in figures</t>
  </si>
  <si>
    <t>Calculations of financial ratios</t>
  </si>
  <si>
    <t>Consolidated statement of income</t>
  </si>
  <si>
    <t>Consolidated statement of cash flows</t>
  </si>
  <si>
    <t>Consolidated statement of changes in equity</t>
  </si>
  <si>
    <t>Wärtsilä Projects Oy</t>
  </si>
  <si>
    <t>Wärtsilä Solutions Oy</t>
  </si>
  <si>
    <t>Effective tax rate (%)</t>
  </si>
  <si>
    <t>Finance lease liabilities*</t>
  </si>
  <si>
    <t>Working capital (WCAP)</t>
  </si>
  <si>
    <t>Trade 
receivables</t>
  </si>
  <si>
    <t>of which 
impaired</t>
  </si>
  <si>
    <t>The Group sells trade receivables in an amount that is currently not significant compared to the trade receivables as a whole. Sold receivables have been de-recognised in the consolidated statement of financial position.</t>
  </si>
  <si>
    <t>Other comprehensive income, net of taxes:</t>
  </si>
  <si>
    <t>Number 
of shares
and votes</t>
  </si>
  <si>
    <t>Profit before taxes + depreciation, amortisation and impairment + interest and other financial expenses</t>
  </si>
  <si>
    <t>Purchases from the associates and joint ventures</t>
  </si>
  <si>
    <t>Receivables from the associates and joint ventures</t>
  </si>
  <si>
    <t>Advances paid to the associates and joint ventures</t>
  </si>
  <si>
    <t>Payables to the associates and joint ventures</t>
  </si>
  <si>
    <t>Cash flow
hedges</t>
  </si>
  <si>
    <t>of which
closed</t>
  </si>
  <si>
    <t>Available
(end of
period)</t>
  </si>
  <si>
    <t>Share
capital</t>
  </si>
  <si>
    <t>Net 
sales</t>
  </si>
  <si>
    <t>Brazil</t>
  </si>
  <si>
    <t>Wärtsilä Norway AS</t>
  </si>
  <si>
    <t>Wärtsilä Baltic Design Centre Sp.z.o.o.</t>
  </si>
  <si>
    <t>Wärtsilä-CME Zhenjiang Propeller Co. Ltd.</t>
  </si>
  <si>
    <t>Wärtsilä Suzhou Ltd.</t>
  </si>
  <si>
    <t>Wärtsilä Singapore Pte Ltd</t>
  </si>
  <si>
    <t>Wärtsilä Japan Ltd.</t>
  </si>
  <si>
    <t xml:space="preserve">Consolidated statement of comprehensive income </t>
  </si>
  <si>
    <t>Current tax receivables</t>
  </si>
  <si>
    <t>Total transactions with the owners of the company</t>
  </si>
  <si>
    <t>Transaktioner med aktieägare</t>
  </si>
  <si>
    <t>origination and reversal of temporary differences</t>
  </si>
  <si>
    <t>Warranties</t>
  </si>
  <si>
    <t>Management remuneration</t>
  </si>
  <si>
    <t>Management remuneration, total</t>
  </si>
  <si>
    <t>President and CEO</t>
  </si>
  <si>
    <t>Sales to the associates and joint ventures</t>
  </si>
  <si>
    <t>Net interest from defined benefit plans</t>
  </si>
  <si>
    <t>Parent company's distributable funds</t>
  </si>
  <si>
    <t>Deputy of President and CEO</t>
  </si>
  <si>
    <t>Current tax liabilities</t>
  </si>
  <si>
    <t>Other 
compre-
hensive 
income</t>
  </si>
  <si>
    <t>DKK</t>
  </si>
  <si>
    <t>AED</t>
  </si>
  <si>
    <t>Saudi Arabian Riyal</t>
  </si>
  <si>
    <t>United Arab Emirates Dirham</t>
  </si>
  <si>
    <t>Change</t>
  </si>
  <si>
    <t>Voluntary pension costs</t>
  </si>
  <si>
    <t>Statutory pension costs</t>
  </si>
  <si>
    <t>Wärtsilä LLC</t>
  </si>
  <si>
    <t>Wärtsilä Ship Design (Shanghai) Co., Ltd</t>
  </si>
  <si>
    <t>Wärtsilä Cyprus Limited</t>
  </si>
  <si>
    <t>Wärtsilä West Africa Guinea</t>
  </si>
  <si>
    <t>Wärtsilä Operations Guyana Inc.</t>
  </si>
  <si>
    <t>Wärtsilä Marine &amp; Power Services Nigeria Limited</t>
  </si>
  <si>
    <t>Wärtsilä Panama Services S.A.</t>
  </si>
  <si>
    <t>Wärtsilä Uruguay S.A.</t>
  </si>
  <si>
    <t>Wärtsilä Services (Shanghai) Co. Ltd.</t>
  </si>
  <si>
    <t>Uruguay</t>
  </si>
  <si>
    <t>Guyana</t>
  </si>
  <si>
    <t>Malaysia</t>
  </si>
  <si>
    <t>Qatar</t>
  </si>
  <si>
    <t>Nigeria</t>
  </si>
  <si>
    <t>Guinea</t>
  </si>
  <si>
    <t>Cyprus</t>
  </si>
  <si>
    <t>Mozambique</t>
  </si>
  <si>
    <t>Tax on items that will not be reclassified to the statement of income</t>
  </si>
  <si>
    <t>Total items that will not be reclassified to the statement of income</t>
  </si>
  <si>
    <t>Total items that may be reclassified to the statement of income</t>
  </si>
  <si>
    <t>Restated</t>
  </si>
  <si>
    <t>dividends paid</t>
  </si>
  <si>
    <t>Totalresultat</t>
  </si>
  <si>
    <t>Other comprehensive income for the financial period, net of taxes</t>
  </si>
  <si>
    <t>Wärtsilä Hamworthy Middle East (FZE)</t>
  </si>
  <si>
    <t>95.0</t>
  </si>
  <si>
    <t>Present value of unfunded defined benefit obligations</t>
  </si>
  <si>
    <t>Present value of funded defined benefit obligations</t>
  </si>
  <si>
    <t>Current service cost</t>
  </si>
  <si>
    <t>Return on plan assets, excluding interest income</t>
  </si>
  <si>
    <t>Experience adjustments</t>
  </si>
  <si>
    <t>Changes in financial assumptions</t>
  </si>
  <si>
    <t>Contribution paid by the plan members</t>
  </si>
  <si>
    <t>Contribution paid by the employer</t>
  </si>
  <si>
    <t>Benefits paid</t>
  </si>
  <si>
    <t>Plan assets invested in:</t>
  </si>
  <si>
    <t>Male</t>
  </si>
  <si>
    <t>Female</t>
  </si>
  <si>
    <t>Discount rate</t>
  </si>
  <si>
    <t>Future salary growth</t>
  </si>
  <si>
    <t>Future pension growth</t>
  </si>
  <si>
    <t>Change in assumption</t>
  </si>
  <si>
    <t>increase 1%</t>
  </si>
  <si>
    <t>decrease 1%</t>
  </si>
  <si>
    <t>Assumptions regarding future mortality are set based on actuarial advice in accordance with the published statistics and experience in each country. These assumptions translate into a weighted average life expectancy in years for a pensioner at the retirement age as follows:</t>
  </si>
  <si>
    <t>Net interest-bearing debt</t>
  </si>
  <si>
    <t>Gross fair values of derivative financial instruments subject to ISDAs</t>
  </si>
  <si>
    <t>Net fair values of derivative financial instruments subject to ISDAs</t>
  </si>
  <si>
    <t>Total non-current liabilities</t>
  </si>
  <si>
    <t>Total current liabilities</t>
  </si>
  <si>
    <t xml:space="preserve">Loan receivables, increase (-) / decrease (+), and other changes </t>
  </si>
  <si>
    <t>In management’s opinion, the changes in the basic assumptions shall not be seen as an indication that these factors are likely to materialise. The sensitivity analyses are hypothetical and should therefore be treated with caution.</t>
  </si>
  <si>
    <t>The responsibility for managing the credit risks associated with ordinary commercial activities lies with the Businesses and the Group companies. Major trade and project finance credit risks are minimised by transferring risks to banks, insurance companies and export credit organisations.</t>
  </si>
  <si>
    <t xml:space="preserve">* Övriga valutor innehåller inga betydliga enskilda valutor. </t>
  </si>
  <si>
    <t>Other*</t>
  </si>
  <si>
    <t>Other European countries</t>
  </si>
  <si>
    <t>Recognised in the statement of income:</t>
  </si>
  <si>
    <t>Interest cost (+) / interest income (-)</t>
  </si>
  <si>
    <t>Remeasurements recognised in other comprehensive income:</t>
  </si>
  <si>
    <t>Gains (-) / losses (+) on curtailments and settlements</t>
  </si>
  <si>
    <t>Total current assets</t>
  </si>
  <si>
    <t>Total non-current assets</t>
  </si>
  <si>
    <t>From the consolidated statement of cash flows</t>
  </si>
  <si>
    <t>Liabilities directly attributable to assets held for sale</t>
  </si>
  <si>
    <t>Assets held for sale</t>
  </si>
  <si>
    <t>Profit for the financial period from the continuing operations</t>
  </si>
  <si>
    <t>Net profit for the financial period</t>
  </si>
  <si>
    <t>Earnings per share (EPS), basic and diluted</t>
  </si>
  <si>
    <t>Receivables, non-interest-bearing, increase (-) / decrease (+)</t>
  </si>
  <si>
    <t>Gains and losses on sale of intangible assets and property, plant and equipment and other changes</t>
  </si>
  <si>
    <t>Repayments and other changes in non-current debt</t>
  </si>
  <si>
    <t>Proceeds from non-current debt</t>
  </si>
  <si>
    <t>Reconciliation of effective tax rate:</t>
  </si>
  <si>
    <t>Wärtsilä is subject to tax audits in some countries, which can result in tax reassessment decisions and obligations to pay additional taxes and related payments.</t>
  </si>
  <si>
    <t>Reclassifications</t>
  </si>
  <si>
    <t>Activities</t>
  </si>
  <si>
    <t>Share Premium</t>
  </si>
  <si>
    <t>Share Capital</t>
  </si>
  <si>
    <t>Effect of share of result of associates and joint ventures</t>
  </si>
  <si>
    <t>Risto Murto, member</t>
  </si>
  <si>
    <t>=+IF('Basic data'!$C$4=1;Y42;IF('Basic data'!$C$4=2;Z42;AA42))</t>
  </si>
  <si>
    <t>Earnings per share attributable to equity holders of the parent company (basic and diluted):</t>
  </si>
  <si>
    <t/>
  </si>
  <si>
    <t>Mauritania</t>
  </si>
  <si>
    <t>General</t>
  </si>
  <si>
    <t>Wärtsilä has a centralised Group Treasury with two main objectives: 1) to arrange adequate funding for the Group’s underlying operations on competitive terms and 2) to identify and evaluate the financial risks within the Group and implement the hedges for the Group companies.</t>
  </si>
  <si>
    <t>Foreign exchange risk</t>
  </si>
  <si>
    <t>Gabon</t>
  </si>
  <si>
    <t>Wärtsilä Central Africa Gabon</t>
  </si>
  <si>
    <t>Utilisation of previously unrecognised tax losses carried forward</t>
  </si>
  <si>
    <t>Cash and cash equivalents at the beginning of the financial period</t>
  </si>
  <si>
    <t>Tax on items that may be reclassified to the statement of income</t>
  </si>
  <si>
    <t>Items that may be reclassified subsequently to the statement of income</t>
  </si>
  <si>
    <t>Items that will not be reclassified to the statement of income</t>
  </si>
  <si>
    <t>Impairment and write-downs</t>
  </si>
  <si>
    <t>The Swiss Plan</t>
  </si>
  <si>
    <t>Purchases during the financial period</t>
  </si>
  <si>
    <t>Personnel at the end of the financial period</t>
  </si>
  <si>
    <t>Social plan costs</t>
  </si>
  <si>
    <t>for the financial period</t>
  </si>
  <si>
    <t>for prior financial periods</t>
  </si>
  <si>
    <t>Income taxes for prior financial periods</t>
  </si>
  <si>
    <t>Amortisation during the financial period</t>
  </si>
  <si>
    <t>Depreciation during the financial period</t>
  </si>
  <si>
    <t>Net liability in the statement of financial position</t>
  </si>
  <si>
    <t>Plan participants retiring at the end of the financial period:</t>
  </si>
  <si>
    <t>Plan participants retiring 20 years after the end of the financial period:</t>
  </si>
  <si>
    <t xml:space="preserve">The following table presents a sensitivity analysis for each significant actuarial assumption showing how the defined benefit obligation would have been affected by changes in the relevant actuarial assumption that were reasonably possible at the end of the financial period. This sensitivity analysis applies to the defined benefit obligation only and not to the net defined benefit pension liability in its entirety. </t>
  </si>
  <si>
    <t>Effect to defined
benefit obligation, MEUR</t>
  </si>
  <si>
    <t>Other interest-bearing debt*</t>
  </si>
  <si>
    <t>Kaj-Gustaf Bergh, member</t>
  </si>
  <si>
    <t>Holding</t>
  </si>
  <si>
    <t>Production, sales and services</t>
  </si>
  <si>
    <t>Sales and services</t>
  </si>
  <si>
    <t>Total equity and liabilities – non-interest-bearing liabilities – provisions, average over the financial period</t>
  </si>
  <si>
    <t>Equity, average over the financial period</t>
  </si>
  <si>
    <t>Adjusted number of shares, average over the financial period</t>
  </si>
  <si>
    <t>Adjusted number of shares at the end of the financial period</t>
  </si>
  <si>
    <t>Dividends paid for the financial period</t>
  </si>
  <si>
    <t>Adjusted share price at the end of the financial period</t>
  </si>
  <si>
    <t>equity holders of the parent company</t>
  </si>
  <si>
    <t>non-controlling interests</t>
  </si>
  <si>
    <t>Remeasurements of defined benefit liabilities</t>
  </si>
  <si>
    <t>Capital gains</t>
  </si>
  <si>
    <t>Taxes related to fair value adjustments</t>
  </si>
  <si>
    <t>49.0</t>
  </si>
  <si>
    <t>CSSC Wärtsilä Engine (Shanghai) Co., Ltd.</t>
  </si>
  <si>
    <t>Remeas-
urements
of defined
benefit
liabilities</t>
  </si>
  <si>
    <t>Consideration transferred</t>
  </si>
  <si>
    <t>Total consideration transferred</t>
  </si>
  <si>
    <t>Consideration paid in cash</t>
  </si>
  <si>
    <t>Cash and cash equivalents of the acquired companies</t>
  </si>
  <si>
    <t>Total cash flow from the acquisition</t>
  </si>
  <si>
    <t>Trade and other receivables</t>
  </si>
  <si>
    <t>Trade payables and other liabilities</t>
  </si>
  <si>
    <t>Total net assets</t>
  </si>
  <si>
    <t>Quantiparts B.V.</t>
  </si>
  <si>
    <t>Wärtsilä JOVYATLAS EUROATLAS GmbH</t>
  </si>
  <si>
    <t>Wärtsilä ELAC Nautik GmbH</t>
  </si>
  <si>
    <t>Wärtsilä SAM Electronics GmbH</t>
  </si>
  <si>
    <t>Wärtsilä Funa International GmbH</t>
  </si>
  <si>
    <t>Wärtsilä APSS Srl</t>
  </si>
  <si>
    <t>Wärtsilä Valmarine AS</t>
  </si>
  <si>
    <t>Wärtsilä Dynamic Positioning Inc.</t>
  </si>
  <si>
    <t>Chattel mortgages and other pledges and securities given as collateral for liabilities and commitments</t>
  </si>
  <si>
    <t>Wärtsilä Mocambique LDA</t>
  </si>
  <si>
    <t>Wärtsilä Lyngsø Marine A/S</t>
  </si>
  <si>
    <t>3. Disposals</t>
  </si>
  <si>
    <t>Wärtsilä Services Switzerland AG</t>
  </si>
  <si>
    <t>Comparable adjusted EBITA</t>
  </si>
  <si>
    <t>Comparable operating result</t>
  </si>
  <si>
    <t>Operating result – items affecting comparability – purchase price allocation amortisation</t>
  </si>
  <si>
    <t>Items affecting comparability</t>
  </si>
  <si>
    <t>Financial income</t>
  </si>
  <si>
    <t>Financial expenses</t>
  </si>
  <si>
    <t>Earnings per share (EPS), basic and diluted, EUR</t>
  </si>
  <si>
    <t>Purchase price allocation amortisation</t>
  </si>
  <si>
    <t>Items affecting comparability:</t>
  </si>
  <si>
    <t>Items affecting comparability, total</t>
  </si>
  <si>
    <t>Carrying amount on 1 January</t>
  </si>
  <si>
    <t>Carrying amount on 31 December</t>
  </si>
  <si>
    <t>Net defined benefit liabilities on 31 December</t>
  </si>
  <si>
    <t>The German Plans</t>
  </si>
  <si>
    <t>Shares and other equity instruments</t>
  </si>
  <si>
    <t>Bonds and other debt instruments</t>
  </si>
  <si>
    <t>Property</t>
  </si>
  <si>
    <t>Other assets</t>
  </si>
  <si>
    <t>The main actuarial assumptions at the end of the financial period are (expressed as weighted averages):</t>
  </si>
  <si>
    <t>Restruc-
turing</t>
  </si>
  <si>
    <t>Cross currency swaps</t>
  </si>
  <si>
    <t>Related parties comprise the Board of Directors, the President and CEO, the Board of Management, the associated companies, and joint ventures.</t>
  </si>
  <si>
    <t>Mikael Lilius, Chairman</t>
  </si>
  <si>
    <t>Quarterly figures</t>
  </si>
  <si>
    <t>Order intake</t>
  </si>
  <si>
    <t xml:space="preserve">for non-controlling interests </t>
  </si>
  <si>
    <t>Tax calculated at the domestic corporate tax rate 20.0%</t>
  </si>
  <si>
    <t>Rental income</t>
  </si>
  <si>
    <t>American Hydro Corporation</t>
  </si>
  <si>
    <t>Contingent consideration</t>
  </si>
  <si>
    <t xml:space="preserve">Pro forma </t>
  </si>
  <si>
    <t>Write-down of financial receivables</t>
  </si>
  <si>
    <t>Wärtsilä operates defined benefit plans in Germany in accordance with the local pension laws and regulations. The plans provide benefits to the members in the form of a pension payable after retirement. The level of benefits provided depends on the accrued retirement savings capital, which is a result of contributions paid up to retirement plus respective interest. The plans vary from unfunded plans to a plan run as a pension fund. 
In some of the plans, contributions are paid to the plan both by the employees and the employers based on a percentage of the insured salary as defined in the pension fund regulations. However, in some plans only the employer is obliged to make the payments. Contributions by the employers vary depending on the age of the employee, the duration of the employment and also on the position of the employee.
The main risks of the plans are longevity of plan members and death or disability of employees before their retirement. In a funded plan, also the investment strategy chosen includes certain risk. Inflationary increases for pensions in payment are valuated on a yearly basis.</t>
  </si>
  <si>
    <t>for equity holders of the parent company</t>
  </si>
  <si>
    <t>Long-term incentive schemes</t>
  </si>
  <si>
    <t>Exchange rate differences*</t>
  </si>
  <si>
    <t>Benefits recognised in the statement of income</t>
  </si>
  <si>
    <t>In the consolidated financial statements there are approximately 60 currencies consolidated. The most significant currencies are presented here.</t>
  </si>
  <si>
    <t>Eniram Oy</t>
  </si>
  <si>
    <t>Equity consists of share capital, share premium, translation differences, fair value reserve, remeasurements of defined benefit liabilities and retained earnings.</t>
  </si>
  <si>
    <t>Warranty provisions include estimated future warranty costs relating to products delivered. The amount of future warranty costs is based on accumulated historical experience. The standard warranty period is one year from the delivery onwards.</t>
  </si>
  <si>
    <t>Cash and bank balances*</t>
  </si>
  <si>
    <t>** Proposal of the Board of Directors.</t>
  </si>
  <si>
    <t>Operating result – items affecting comparability</t>
  </si>
  <si>
    <t>Develop-
ment
expenses</t>
  </si>
  <si>
    <t>Construc-
tion in
progress 
and 
advances
paid</t>
  </si>
  <si>
    <t>Build-
ings 
and 
struc-
tures</t>
  </si>
  <si>
    <t>Machin-
ery 
and 
equip-
ment</t>
  </si>
  <si>
    <t>Changes in demographic assumptions</t>
  </si>
  <si>
    <t>Additional information on equity is presented in Notes to the parent company financial statements, in Note 10. Shareholders' equity.</t>
  </si>
  <si>
    <t>Normally all of the Groups' derivatives are done under International Swaps and Derivatives Association's Master Agreements (ISDA). In case of an event of default under these agreements the non-defaulting party may request early termination and set-off of all outstanding transactions. These agreements do not meet the criteria for offsetting in the statement of financial position. The following table sets out the carrying amounts of recognised financial instruments that are subject to the above agreements.</t>
  </si>
  <si>
    <t>The President and CEO is entitled to retire on reaching 63 years of age. The members of the Board of Management are entitled to retire on reaching the statutory retirement age. One member of the Board of Management is entitled to retire earlier, on reaching 60 years of age. The Group has no loan receivables from the executive management or the Board of Directors. No pledges or other commitments have been given on behalf of management or shareholders.</t>
  </si>
  <si>
    <t>The Group companies deposit the maximum amount of their liquid financial assets with the centralised treasury when local laws and central bank regulations allow it. The Group’s funds are placed in instruments with sufficient liquidity (current bank deposits or Finnish Commercial Papers) and rating (at least single-A rated instruments or other instruments approved by the Group’s CFO). These placements are constantly monitored by the Group Treasury, and Wärtsilä does not expect any future defaults from the placements.</t>
  </si>
  <si>
    <t>Associates and joint ventures, share of other comprehensive income</t>
  </si>
  <si>
    <t>PwC</t>
  </si>
  <si>
    <t>Consolidated statement of financial position</t>
  </si>
  <si>
    <t>Rental costs</t>
  </si>
  <si>
    <t>Travel costs</t>
  </si>
  <si>
    <t>Information technology costs</t>
  </si>
  <si>
    <t>Other personnel related costs</t>
  </si>
  <si>
    <t>Legal and consultancy costs</t>
  </si>
  <si>
    <t>Elimination of intragroup margin in inventories</t>
  </si>
  <si>
    <t>Recog-
nised in 
the con-
solidated
statement
of income</t>
  </si>
  <si>
    <t>Transla-
tion dif-
ferences</t>
  </si>
  <si>
    <t>Acquisi-
tions and 
disposals</t>
  </si>
  <si>
    <t>Guidance Marine Ltd</t>
  </si>
  <si>
    <t>Guidance Marine LLC</t>
  </si>
  <si>
    <t>Guidance Marine Pte Ltd</t>
  </si>
  <si>
    <t>Wärtsilä’s policy is to secure a strong capital base to keep the confidence of investors and creditors and for the future development of the business. The capital is defined as total equity including non-controlling interests and net interest-bearing debt. The target for Wärtsilä is to maintain gearing below 0.50 and to pay a dividend of at least 50% of earnings over the cycle.</t>
  </si>
  <si>
    <t>Debt in the 
statement 
of financial 
position</t>
  </si>
  <si>
    <t>Johan Forssell, member</t>
  </si>
  <si>
    <t>Karin Falk, member</t>
  </si>
  <si>
    <t>Tom Johnstone, Deputy Chairman</t>
  </si>
  <si>
    <t>Profit for the financial period attributable to equity holders of the parent company</t>
  </si>
  <si>
    <t>Currency forwards, included in hedge accounting</t>
  </si>
  <si>
    <t>Currency forwards, no hedge accounting</t>
  </si>
  <si>
    <t>Loans</t>
  </si>
  <si>
    <t>Fixed rate loans</t>
  </si>
  <si>
    <t>Floating rate loans</t>
  </si>
  <si>
    <t>Share of fixed rate loans of total loans (including derivatives), %</t>
  </si>
  <si>
    <t>Interest income on investments at amortised cost</t>
  </si>
  <si>
    <t>Fee expenses</t>
  </si>
  <si>
    <t>Trade receivables for sale</t>
  </si>
  <si>
    <t>Measured
at 
amortised
cost</t>
  </si>
  <si>
    <t>At fair 
value 
through 
the 
statement 
of income</t>
  </si>
  <si>
    <t>At fair
value
through
other
compre-
hensive
income</t>
  </si>
  <si>
    <t>Financial assets</t>
  </si>
  <si>
    <t>Financial liabilities</t>
  </si>
  <si>
    <t>Level 2</t>
  </si>
  <si>
    <t>Level 3</t>
  </si>
  <si>
    <t>Impairment, beginning of period</t>
  </si>
  <si>
    <t>Impairment during the period</t>
  </si>
  <si>
    <t>Impairment, end of period</t>
  </si>
  <si>
    <t>Goodwill allocation</t>
  </si>
  <si>
    <t>Research and development expenditure</t>
  </si>
  <si>
    <t>Interest income</t>
  </si>
  <si>
    <t>Interest expenses</t>
  </si>
  <si>
    <t>Other financial income and expenses</t>
  </si>
  <si>
    <t>Trans-
lation 
differ-
ence</t>
  </si>
  <si>
    <t>Present
value of
defined
benefit
obligations</t>
  </si>
  <si>
    <t>Fair
value
of plan
assets</t>
  </si>
  <si>
    <t>Present
value of
defined
benefit
obligation</t>
  </si>
  <si>
    <t>Net
defined
benefit
liability</t>
  </si>
  <si>
    <t>Fair value hierarchy</t>
  </si>
  <si>
    <t>Other acquisitions</t>
  </si>
  <si>
    <t>-15</t>
  </si>
  <si>
    <t>Specific valuation techniques used to value financial instruments include:</t>
  </si>
  <si>
    <t>Hedged highly probable forecasted cash flows by year</t>
  </si>
  <si>
    <t>Wärtsilä ensures sufficient liquidity at all times by efficient cash management and by maintaining sufficient committed and uncommitted credit lines available. Refinancing risk is managed by having a balanced and sufficiently long loan portfolio.</t>
  </si>
  <si>
    <t>Cash equivalents</t>
  </si>
  <si>
    <t xml:space="preserve">(Inventories + trade receivables + current tax receivables + other non-interest-bearing receivables) 
– (trade payables + advances received + pension obligations + provisions + current tax liabilities + other non-interest-bearing liabilities – dividend payable)  </t>
  </si>
  <si>
    <t>Equity
impact</t>
  </si>
  <si>
    <t>Net
amount</t>
  </si>
  <si>
    <t>Gross
amount</t>
  </si>
  <si>
    <t>• the fair value of forward foreign exchange contracts is determined by using forward rates at the closing date</t>
  </si>
  <si>
    <t>• the fair value of interest rate swaps is calculated as the present value of the estimated future cash flows based on observable yield curves</t>
  </si>
  <si>
    <t>• the use of quoted market prices or dealer quotes for similar instruments</t>
  </si>
  <si>
    <t>* Interna transaktioner. De egentliga säkringsredovisningsposterna baseras på dessa.</t>
  </si>
  <si>
    <t>The recoverable amount from the CGU is determined based on value-in-use calculation. The calculation is made on a discounted cash flow method basis, derived from the order book and five-year cash flow projections from management approved strategic plans. The estimated cash flow of CGU is based on utilisation of the existing property, plant and equipment in their current condition with normal maintenance capital expenditure, excluding any potential future acquisitions. Cash flow beyond the five-year period is calculated using the terminal value method. The terminal growth rate used in projections is based on management’s assessment on conservative long-term growth. The terminal growth rate used is 2%.</t>
  </si>
  <si>
    <t>Interest-bearing investments, non-current</t>
  </si>
  <si>
    <t>Other receivables, non-current</t>
  </si>
  <si>
    <t>Pre-tax discount rate</t>
  </si>
  <si>
    <t>Terminal growth rate</t>
  </si>
  <si>
    <t>Profitability</t>
  </si>
  <si>
    <t>* Intragroup transactions, on which the actual hedge accounting bookings are based.</t>
  </si>
  <si>
    <t>The Group is a defendant in a number of legal cases which arise out of, or are incidental to, the ordinary course of its business. These lawsuits concern mainly issues such as contractual and other liability, labour relations, property damage and regulatory matters. The Group receives from time to time claims of different amounts and with varying degrees of substantiation. There is currently one unusually sizeable claim, but it is highly unlikely that the outcome of it would be unfavourable. The claim is treated as a contingent liability as it is the Group’s policy to provide for amounts related to the claims as well as for the litigation and arbitration matters when an unfavourable outcome is probable and the amount of loss can be reasonably estimated.</t>
  </si>
  <si>
    <t>Impairment</t>
  </si>
  <si>
    <t>Other movements</t>
  </si>
  <si>
    <t>Development expenses</t>
  </si>
  <si>
    <t>31.12.2018</t>
  </si>
  <si>
    <t>* Figures in the comparison period 2017 have been restated due to the adoption of IFRS 15.</t>
  </si>
  <si>
    <t>*** Share issue without payment (share split) approved by Wärtsilä Corporation’s Annual General Meeting on 8 March 2018 increased the total number of Wärtsilä shares to 591,723,390. Figures in the comparison periods have been restated accordingly.</t>
  </si>
  <si>
    <t>Dividend per share***</t>
  </si>
  <si>
    <t>Earnings per share (EPS), basic and diluted***</t>
  </si>
  <si>
    <t>Equity per share***</t>
  </si>
  <si>
    <t>2017*</t>
  </si>
  <si>
    <t>10–12/
2018</t>
  </si>
  <si>
    <t>7–9/
2018</t>
  </si>
  <si>
    <t>4–6/
2018</t>
  </si>
  <si>
    <t>1–3/
2018</t>
  </si>
  <si>
    <t>Equity on 31 December 2018</t>
  </si>
  <si>
    <t>Equity on 1 January 2018</t>
  </si>
  <si>
    <t>Acquisitions 2018</t>
  </si>
  <si>
    <t>Total cash flow from the acquisitions</t>
  </si>
  <si>
    <t>Disposals 2018</t>
  </si>
  <si>
    <t>changes in tax rates</t>
  </si>
  <si>
    <t>The Group performs its annual impairment testing of goodwill on 30 September. Impairment of goodwill is also carried out when changes in circumstances indicate that the carrying amount may not be recoverable.</t>
  </si>
  <si>
    <t>Carrying amount by measurement category</t>
  </si>
  <si>
    <t xml:space="preserve">Financial instruments measured at fair value are classified according to the following fair value hierarchy: instruments measured using quoted prices in active markets (level 1), instruments measured using inputs other than quoted prices included in level 1 observable either directly or indirectly (level 2), and instruments measured using inputs that are not based on observable market data (level 3). Financial instruments measured at fair value include financial assets and liabilities at fair value through the statement of income. Due to the short nature of the current receivables, their carrying amount is considered to be same as their fair value. </t>
  </si>
  <si>
    <t>Other investments include unlisted shares carried at fair value. These investments are valued using certain DCF models where critical assumptions relate to WACC level and expected cash flows from future dividends. However, the results from different scenarios vary a lot. Thus, the management considers that the valuation at amortised cost is the best estimate of fair value.</t>
  </si>
  <si>
    <t>Acquisitions and disposals</t>
  </si>
  <si>
    <t>Fair value reserve includes the changes in fair value of derivative financial instruments, if the hedging is effective and eligible for hedge accounting. The changes in items included in fair value reserve are recognised in other comprehensive income.</t>
  </si>
  <si>
    <t>31 December
2018</t>
  </si>
  <si>
    <t>Wärtsilä Puregas Solutions A/S</t>
  </si>
  <si>
    <t>Wärtsilä Puregas Solutions Ltd</t>
  </si>
  <si>
    <t>Wärtsilä Puregas Solutions AB</t>
  </si>
  <si>
    <t>Contract assets</t>
  </si>
  <si>
    <t>Contract liabilities</t>
  </si>
  <si>
    <t>Other financial receivables</t>
  </si>
  <si>
    <t>Other financial liabilities</t>
  </si>
  <si>
    <t>Interest-bearing debt, non-current*</t>
  </si>
  <si>
    <t>* Measured at amortised cost in the consolidated statement of financial position.</t>
  </si>
  <si>
    <t>Derivatives**</t>
  </si>
  <si>
    <t>Provisions on 1 January 2018</t>
  </si>
  <si>
    <t>Provisions on 31 December 2018</t>
  </si>
  <si>
    <t>Changes in deferred taxes during 2018</t>
  </si>
  <si>
    <t>Cost on 1 January 2018</t>
  </si>
  <si>
    <t>Cost on 31 December 2018</t>
  </si>
  <si>
    <t>Accumulated amortisation and impairment on 1 January 2018</t>
  </si>
  <si>
    <t>Accumulated depreciation and impairment on 1 January 2018</t>
  </si>
  <si>
    <t>Accumulated amortisation and impairment on 31 December 2018</t>
  </si>
  <si>
    <t>Accumulated depreciation and impairment on 31 December 2018</t>
  </si>
  <si>
    <t>Carrying amount on 31 December 2018</t>
  </si>
  <si>
    <t>Net loans include non-euro intragroup loans and deposits given by the parent company.</t>
  </si>
  <si>
    <t>Share issue without payment on 12 March 2018</t>
  </si>
  <si>
    <t>Total interest-bearing liabilities</t>
  </si>
  <si>
    <t>Total interest-bearing assets</t>
  </si>
  <si>
    <t>Net debt reconciliation</t>
  </si>
  <si>
    <t>Carrying 
amount on 
1 January 2018</t>
  </si>
  <si>
    <t>Cash
flows</t>
  </si>
  <si>
    <t>Other
non-cash
movements</t>
  </si>
  <si>
    <t>Carrying 
amount on 
31 December 2018</t>
  </si>
  <si>
    <t>1 January 2018</t>
  </si>
  <si>
    <t>31 December 2018</t>
  </si>
  <si>
    <t>Fair value reserve on 31 December 2018</t>
  </si>
  <si>
    <t>Balance on 31 December 2018</t>
  </si>
  <si>
    <t>Balance on 1 January 2018</t>
  </si>
  <si>
    <t>Revenue from the contracts with customers is derived over time and at a point in time in the following revenue types.</t>
  </si>
  <si>
    <t>Net sales by revenue type</t>
  </si>
  <si>
    <t>Products</t>
  </si>
  <si>
    <t>Goods and services</t>
  </si>
  <si>
    <t>Projects</t>
  </si>
  <si>
    <t>Long-term agreements</t>
  </si>
  <si>
    <t>Timing of satisfying performance obligations</t>
  </si>
  <si>
    <t>At a point in time</t>
  </si>
  <si>
    <t>Over time</t>
  </si>
  <si>
    <t>Product sales consist of sales of spare parts and standard equipment for which the revenue is recognised at a point in time when the control of the products has transferred to customer, in general at the delivery of the goods.</t>
  </si>
  <si>
    <t>Goods and services -type of revenue involves short-term field service jobs, which includes the delivery of a combination of service and equipment. The revenue is recognised at a point in time when service is rendered.</t>
  </si>
  <si>
    <t>Projects contain short-term and long-term projects. Depending on the contract terms and the duration of the project, the revenue is recognised at a point in time or over time. Revenue related to long-term projects, such as construction contracts, integrated solutions projects, ship design, and energy solutions contracts, is recognised over time. Revenue for tailor-made equipment delivery projects is recognised at a point in time.</t>
  </si>
  <si>
    <t>Long-term agreements contain long-term operating and maintenance agreements for which the revenue is recognised over time.</t>
  </si>
  <si>
    <t xml:space="preserve">Acquisition related costs                                             </t>
  </si>
  <si>
    <t>increase more than 20 percentage points</t>
  </si>
  <si>
    <t>decrease more than 68 percentage points</t>
  </si>
  <si>
    <t>decrease more than 82 percentage</t>
  </si>
  <si>
    <t>Transas is a global market leader in marine navigation solutions that include complete bridge systems, digital products and electronic charts. The company is also a leader in professional training and simulation services, ship traffic control, as well as monitoring, and support.</t>
  </si>
  <si>
    <t>In May, Wärtsilä acquired 100% of Transas, a global company headquartered in the U.K.</t>
  </si>
  <si>
    <t>Transas Group</t>
  </si>
  <si>
    <t>In February, Wärtsilä acquired 100% of Trident B.V. and LOCK-N-STITCH Inc. In October, Wärtsilä acquired 100% of Burriel Navarro, S.L.</t>
  </si>
  <si>
    <t>Trident B.V. is a Netherland based company specialised in underwater ship maintenance, inspection, and repair services. With this acquisition, Wärtsilä builds in-house competence, captures the full potential of services’ product synergies, and strengthens its position in the market.</t>
  </si>
  <si>
    <t>LOCK-N-STITCH Inc. is an American engineering company serving customers within the marine and energy sectors as well as other industries. It specialises in cast iron repairs. The acquisition strengthens Wärtsilä’s service portfolio for customers operating multiple brands.</t>
  </si>
  <si>
    <t>Burriel Navarro, S.L is a company operating in underwater services in the main ports of Spain. The acquisition supports the growth of Wärtsilä’s underwater services and expands the company’s local presence in the European market.</t>
  </si>
  <si>
    <t>-33</t>
  </si>
  <si>
    <t>41</t>
  </si>
  <si>
    <t>9</t>
  </si>
  <si>
    <t>-8</t>
  </si>
  <si>
    <t>25</t>
  </si>
  <si>
    <t>Reduction of share capital in associates and joint ventures</t>
  </si>
  <si>
    <t>Total net interest-bearing debt</t>
  </si>
  <si>
    <t>non-controlling interests in disposed subsidiaries</t>
  </si>
  <si>
    <t>RUB</t>
  </si>
  <si>
    <t>Danish Krone</t>
  </si>
  <si>
    <t>Russian Rouble</t>
  </si>
  <si>
    <t>Other disposals</t>
  </si>
  <si>
    <t>Disposal of pumps business</t>
  </si>
  <si>
    <t>On 20 October 2018, Wärtsilä sold its majority interest in Wärtsilä Yuchai Engine Co. Ltd. The consideration received and the impact on profit for the financial period were not significant.</t>
  </si>
  <si>
    <t>Cash and cash equivalents of the acquired company</t>
  </si>
  <si>
    <t>During 2018 the Group incurred acquisition-related costs of EUR 3 million related to external legal fees and due diligence costs. The costs have been included in the other operating expenses in the consolidated statement of income.</t>
  </si>
  <si>
    <t>If the acquisition had occurred on 1 January 2018, management estimates that the consolidated net sales would have been EUR 5,213 million. The impact in the consolidated operating result would not have been significant. In determining these amounts, management has assumed that the fair value adjustments, which arose on the date of the acquisition would have been the same if the acquisition had occurred on 1 January 2018.</t>
  </si>
  <si>
    <t>During 2018, the acquisition-related costs the Group incurred related to external legal fees and due diligence costs were insignificant. The costs have been included in the other operating expenses in the consolidated statement of income.</t>
  </si>
  <si>
    <t>If the acquisitions had occurred on 1 January 2018, management estimates that the consolidated net sales would have been EUR 5,176 million. The impact in the consolidated operating result would not have been significant. In determining these amounts, management has assumed that the fair value adjustments, which arose on the dates of the acquisitions would have been the same if the acquisitions had occurred on 1 January 2018.</t>
  </si>
  <si>
    <t>Proceeds from sale of shares in subsidiaries</t>
  </si>
  <si>
    <t>Share based bonuses*</t>
  </si>
  <si>
    <t>Interest-bearing debt, non-current</t>
  </si>
  <si>
    <t>Interest-bearing debt, current</t>
  </si>
  <si>
    <t>Decreases</t>
  </si>
  <si>
    <t>Accumulated depreciation on decreases</t>
  </si>
  <si>
    <t>Translating foreign subsidiaries' financial statements by using different exchange rates in the statement of comprehensive income and in the statement of financial position causes translation differences, which are recognised in equity. Translation differences of foreign subsidiaries’ acquisition cost eliminations and post acquisition gains and losses are also presented in equity. Also translation differences arising from subsidiary net investment and non-current subsidiary loan without agreed settlement dates are presented in equity. The change in translation differences is recognised in other comprehensive income.</t>
  </si>
  <si>
    <t>Decreases and other changes</t>
  </si>
  <si>
    <t>Accumulated amortisation on decreases and other changes</t>
  </si>
  <si>
    <t>Accumulated depreciation on decreases and disposals</t>
  </si>
  <si>
    <t>Burriel Navarro S.L.</t>
  </si>
  <si>
    <t>LOCK-N-STITCH Inc.</t>
  </si>
  <si>
    <t>Trident Italia Srl</t>
  </si>
  <si>
    <t>Trident Las Palmas S.L.</t>
  </si>
  <si>
    <t>Trident B.V.</t>
  </si>
  <si>
    <t>Ireland</t>
  </si>
  <si>
    <t xml:space="preserve">Transas Navigator Ltd. </t>
  </si>
  <si>
    <t>Wärtsilä Burkina Faso</t>
  </si>
  <si>
    <t>Burkina Faso</t>
  </si>
  <si>
    <t>Wärtsilä Digital Technologies, JSC</t>
  </si>
  <si>
    <t>Wärtsilä Muscat LLC</t>
  </si>
  <si>
    <t>Oman</t>
  </si>
  <si>
    <t>Wärtsilä Voyage Limited</t>
  </si>
  <si>
    <t>Wärtsilä Voyage UK Limited</t>
  </si>
  <si>
    <t>Wärtsilä Voyage Pacific Pte Ltd</t>
  </si>
  <si>
    <t>Other non-cash flow adjustments</t>
  </si>
  <si>
    <t>Wärtsilä on 1 January</t>
  </si>
  <si>
    <t>The key driver for the valuation is the growth in the global economy and in particular the development of the global power market, the global shipbuilding industry and the demand for related services. The projected development of total costs in the market affects the profitability, whereas no single cost item is considered to have a material impact. The valuation driver for the new equipment sales is the growth in the global economy, whereas for after sales the drivers are also the demand for related services and the projected development in labour cost.</t>
  </si>
  <si>
    <t>Liabil-
ities</t>
  </si>
  <si>
    <t>CSSC Wärtsilä Electrical &amp; Automation Co., Ltd.</t>
  </si>
  <si>
    <t>Prepaid expenses</t>
  </si>
  <si>
    <t>Accrued expenses</t>
  </si>
  <si>
    <t>Deferred income</t>
  </si>
  <si>
    <t>Revenue recognised in the financial period that was included in the contract liability on 1 January</t>
  </si>
  <si>
    <t>Trade receivables and contract assets</t>
  </si>
  <si>
    <t>Nettoskulderna innehåller av moderbolaget givna koncerninterna lån och depositioner, vilka är i annan valuta än euro.</t>
  </si>
  <si>
    <t>Land and buildings, right-of-use assets</t>
  </si>
  <si>
    <t>Decreases and reclassifications</t>
  </si>
  <si>
    <t>Machinery and equipment, right-of-use assets</t>
  </si>
  <si>
    <t>Lease liabilities</t>
  </si>
  <si>
    <t>Interest expense</t>
  </si>
  <si>
    <t>Payments</t>
  </si>
  <si>
    <t>Amounts recognised in statement of income</t>
  </si>
  <si>
    <t>10–12/
2019</t>
  </si>
  <si>
    <t>7–9/
2019</t>
  </si>
  <si>
    <t>4–6/
2019</t>
  </si>
  <si>
    <t>1–3/
2019</t>
  </si>
  <si>
    <t>Wärtsilä Marine Business*</t>
  </si>
  <si>
    <t>Wärtsilä Energy Business*</t>
  </si>
  <si>
    <t>Right-of-use assets</t>
  </si>
  <si>
    <t>Equity on 1 January 2019</t>
  </si>
  <si>
    <t>Equity on 31 December 2019</t>
  </si>
  <si>
    <t>Ships Electronic Services Ltd</t>
  </si>
  <si>
    <t>Acquisitions 2019</t>
  </si>
  <si>
    <t>In 2019, there were no disposals.</t>
  </si>
  <si>
    <t>Disposals 2019</t>
  </si>
  <si>
    <t>Cost on 1 January 2019</t>
  </si>
  <si>
    <t>Cost on 31 December 2019</t>
  </si>
  <si>
    <t>Carrying amount on 31 December 2019</t>
  </si>
  <si>
    <t>Accumulated amortisation and impairment on 1 January 2019</t>
  </si>
  <si>
    <t>Accumulated depreciation and impairment on 1 January 2019</t>
  </si>
  <si>
    <t>Carrying 
amount on 
1 January 2019</t>
  </si>
  <si>
    <t>Carrying 
amount on 
31 December 2019</t>
  </si>
  <si>
    <t>Changes
in
exchange
rates</t>
  </si>
  <si>
    <t>Acquistions
and
disposals</t>
  </si>
  <si>
    <t>Changes in deferred taxes during 2019</t>
  </si>
  <si>
    <t>1 January 2019</t>
  </si>
  <si>
    <t>31.12.2019</t>
  </si>
  <si>
    <t>31 December 2019</t>
  </si>
  <si>
    <t>Balance on 1 January 2019</t>
  </si>
  <si>
    <t>Balance on 31 December 2019</t>
  </si>
  <si>
    <t>Difference between fair value and carrying amount on 1 January 2018</t>
  </si>
  <si>
    <t>Fair value reserve on 1 January 2018</t>
  </si>
  <si>
    <t>Fair value reserve on 31 December 2019</t>
  </si>
  <si>
    <t>Provisions on 1 January 2019</t>
  </si>
  <si>
    <t>Provisions on 31 December 2019</t>
  </si>
  <si>
    <t>Board of Directors on 31 December 2019</t>
  </si>
  <si>
    <t>2024-</t>
  </si>
  <si>
    <t>31 December
2019</t>
  </si>
  <si>
    <t>Accumulated amortisation and impairment on 31 December 2019</t>
  </si>
  <si>
    <t>Total lease liabilities</t>
  </si>
  <si>
    <t>Wärtsilä Marine Business</t>
  </si>
  <si>
    <t>Wärtsilä Energy Business</t>
  </si>
  <si>
    <t>Operating result as a percentage of net sales (%)</t>
  </si>
  <si>
    <t>Comparable operating result as a percentage of net sales (%)</t>
  </si>
  <si>
    <t>Service information</t>
  </si>
  <si>
    <t>Marine service</t>
  </si>
  <si>
    <t>Energy service</t>
  </si>
  <si>
    <t xml:space="preserve">The Financial Risk Policy is approved by the Board of Directors. The Group Treasury employs only such instruments whose market value and risk profile it can reliably monitor. </t>
  </si>
  <si>
    <t>Foreign exchange exposures are monitored at the Business level, hedged at company level against the Group Treasury and then netted and covered externally at Group level by the Group Treasury. All material fixed sales and purchase contracts, including both future cash flows and related accounts receivable and payable, are hedged. The estimated future commercial exposures are evaluated by the Businesses, and the level of hedging is decided by the Board of Management. Hedge accounting in accordance with IFRS 9 is applied to most of the hedges of these exposures. The hedges cover such time periods that both the prices and costs can be adjusted to new exchange rates. These periods vary among Group companies from one month to two years. The Group also hedges its position of the statement of financial position, which includes cash balances, loans/deposits as well as other receivables and payables denominated in foreign currencies.</t>
  </si>
  <si>
    <t>As field service work is invoiced in local currencies, there is some foreign exchange changes related volatility in the Group’s turnover. However the effect to the profitability is limited as the related costs are in the same currency. Spare part sales are based on euro price list and related purchases in non-euro currencies are hedged, so effect from foreign currency rate changes to spare part sales in minimal. As both Marine and Energy Business project/hardware sales/purchases as well as estimated currency exposures from long-term agreements are hedged, the Group does not expect significant gains/losses from foreign exchange rate changes in 2020 related to its operations excluding internal financing.</t>
  </si>
  <si>
    <t>As external hedges are typically done on short maturities (up to 1 year) and only high credit quality (A- minimum rating requirement) counterparties are utilised, counterparty credit risk is expected to have minimal effect on hedge valuations. Due to some underlying hedged cash flows having longer maturities than related hedges the change in present value of the hedge and underlying cash flow does not always fully offset each other during the lifetime of a hedge. This ineffectiveness is calculated on quarterly basis and will be booked on Group level in financial items.</t>
  </si>
  <si>
    <t>EUR/USD</t>
  </si>
  <si>
    <t>USD/NOK</t>
  </si>
  <si>
    <t>EUR/NOK</t>
  </si>
  <si>
    <t>EUR/JPY</t>
  </si>
  <si>
    <t>Statement of financial position</t>
  </si>
  <si>
    <t>Estimated cash flows</t>
  </si>
  <si>
    <t>Deposits</t>
  </si>
  <si>
    <t>External loans</t>
  </si>
  <si>
    <t>Total amount of currency derivatives</t>
  </si>
  <si>
    <t>External currency forwards under hedge accounting by year</t>
  </si>
  <si>
    <t>· Water and waste treatment</t>
  </si>
  <si>
    <t>· Automation, navigation &amp; communication</t>
  </si>
  <si>
    <t>· Power conversion</t>
  </si>
  <si>
    <t>· Simulation &amp; training solutions</t>
  </si>
  <si>
    <t>· Propulsion</t>
  </si>
  <si>
    <t>· Fleet operations solutions</t>
  </si>
  <si>
    <t>· Exhaust treatment</t>
  </si>
  <si>
    <t>· Ship traffic control solutions</t>
  </si>
  <si>
    <t>· Special products</t>
  </si>
  <si>
    <t>Entity wide information</t>
  </si>
  <si>
    <t xml:space="preserve">· Gas solutions for marine </t>
  </si>
  <si>
    <t>Alternative performance measures</t>
  </si>
  <si>
    <t>The recoverable amount from the CGUs is determined based on value-in-use calculation. The calculation is made on a discounted cash flow method basis, derived from the order book and five-year cash flow projections from management approved strategic plans. The estimated cash flow of the CGUs is based on utilisation of the existing property, plant and equipment in their current condition with normal maintenance capital expenditure, excluding any potential future acquisitions. Cash flow beyond the five-year period is calculated using the terminal value method. The terminal growth rate used in projections is based on management’s assessment on conservative long-term growth. The terminal growth rate used is 2%.</t>
  </si>
  <si>
    <t>Low-value lease liabilities</t>
  </si>
  <si>
    <t>Short-term lease liabilities</t>
  </si>
  <si>
    <t>The presentation in value of orders that are placed by customers but not yet delivered. For service agreements, only the expected net sales for the next 24 months are included in the order book.</t>
  </si>
  <si>
    <t>Lease liabilities, non-current</t>
  </si>
  <si>
    <t>Lease liabilities, current</t>
  </si>
  <si>
    <t>Wärtsilä Netherlands B.V.</t>
  </si>
  <si>
    <t>Wärtsilä Ship Design Norway AS</t>
  </si>
  <si>
    <t>Wärtsilä SAM Electronics (Taizhou) Co., Ltd.</t>
  </si>
  <si>
    <t>Greenham Regis Ltd</t>
  </si>
  <si>
    <t>Wärtsilä Portugal S.A.</t>
  </si>
  <si>
    <t>Wärtsilä Doha L.L.C.</t>
  </si>
  <si>
    <t>Wärtsilä Power Contracting Company Ltd.</t>
  </si>
  <si>
    <t>Wärtsilä de Mexico S.A. de C.V.</t>
  </si>
  <si>
    <t>Wärtsilä Mauritanie - SAU</t>
  </si>
  <si>
    <t>Wärtsilä Malaysia Sdn. Bhd.</t>
  </si>
  <si>
    <t>Wärtsilä Myanmar</t>
  </si>
  <si>
    <t>Myanmar</t>
  </si>
  <si>
    <t>Wärtsilä Korea Ltd.</t>
  </si>
  <si>
    <t>Wärtsilä Lanka (PVT) Ltd</t>
  </si>
  <si>
    <t>Vietnam</t>
  </si>
  <si>
    <t>Wärtsilä (Vietnam) Company Limited</t>
  </si>
  <si>
    <t>Wärtsilä Eastern Africa Limited</t>
  </si>
  <si>
    <t>Wärtsilä Gas Solutions Norway AS.</t>
  </si>
  <si>
    <t>Transas New Building Limited</t>
  </si>
  <si>
    <t>Wärtsilä Voyage (Shanghai) Co. Ltd.</t>
  </si>
  <si>
    <t>Wärtsilä Voyage Mediterranean SAS</t>
  </si>
  <si>
    <t>Wärtsilä Voyage Poland sp. z.o.o.</t>
  </si>
  <si>
    <t>Wärtsilä Voyage Netherlands BV</t>
  </si>
  <si>
    <t>Wärtsilä Voyage Sweden AB</t>
  </si>
  <si>
    <t xml:space="preserve">Wärtsilä Voyage Middle East DMCEST </t>
  </si>
  <si>
    <t>Wartsila Voyage Americas  Inc</t>
  </si>
  <si>
    <t>Wärtsilä Voyage Investments Unlimited Company</t>
  </si>
  <si>
    <t>Wärtsilä Voyage Germany GmbH</t>
  </si>
  <si>
    <t>36. Subsidiaries</t>
  </si>
  <si>
    <t>35. Exchange rates</t>
  </si>
  <si>
    <t>34. Auditors' fees and services</t>
  </si>
  <si>
    <t>33. Financial risks</t>
  </si>
  <si>
    <t>32. Related party disclosures</t>
  </si>
  <si>
    <t>31. Collateral, contingent liabilities and other commitments</t>
  </si>
  <si>
    <t>30. Derivative financial instruments</t>
  </si>
  <si>
    <t>5. Disaggregation of revenue</t>
  </si>
  <si>
    <t>20. Contract balances</t>
  </si>
  <si>
    <t>21. Other receivables</t>
  </si>
  <si>
    <t>22. Cash and cash equivalents</t>
  </si>
  <si>
    <t>23. Net debt reconciliation</t>
  </si>
  <si>
    <t>24. Deferred taxes</t>
  </si>
  <si>
    <t>25. Pension obligations</t>
  </si>
  <si>
    <t>26. Equity</t>
  </si>
  <si>
    <t>27. Provisions</t>
  </si>
  <si>
    <t>28. Financial liabilities</t>
  </si>
  <si>
    <t>29. Other liabilities</t>
  </si>
  <si>
    <t>6. Other operating income</t>
  </si>
  <si>
    <t>7. Material and services</t>
  </si>
  <si>
    <t>8. Employee benefit expenses</t>
  </si>
  <si>
    <t>9. Depreciation, amortisation and impairment</t>
  </si>
  <si>
    <t>10. Other operating expenses</t>
  </si>
  <si>
    <t>11. Financial income and expenses</t>
  </si>
  <si>
    <t>12. Income taxes</t>
  </si>
  <si>
    <t>13. Earnings per share</t>
  </si>
  <si>
    <t>14. Intangible assets</t>
  </si>
  <si>
    <t>16. Leases</t>
  </si>
  <si>
    <t>17. Investments in associates and joint ventures</t>
  </si>
  <si>
    <t>18. Financial assets and liabilities by measurement category</t>
  </si>
  <si>
    <t>19. Inventories</t>
  </si>
  <si>
    <t>Intragroup loans/deposits</t>
  </si>
  <si>
    <t>4. Assets held for sale</t>
  </si>
  <si>
    <t>Items on statement of financial position</t>
  </si>
  <si>
    <t>Accumulated depreciation and impairment on 31 December 2019</t>
  </si>
  <si>
    <t>In 2019, EUR 4 million (1) impairment for obsolete inventories has been recognised in the consolidated statement of income. Acquisition-related increase in inventories is EUR 1 million (8).</t>
  </si>
  <si>
    <t>Measures of profit and items affecting comparability</t>
  </si>
  <si>
    <t>EUR/CNY</t>
  </si>
  <si>
    <t>EUR/GBP</t>
  </si>
  <si>
    <t>AUD</t>
  </si>
  <si>
    <t>CAD</t>
  </si>
  <si>
    <t>MXN</t>
  </si>
  <si>
    <t>At the end of 2019, a one percentage point parallel decrease/increase of the yield curve would have resulted in a EUR 28 million (24) increase/decrease in the value of the net debt portfolio, including derivatives. A one percentage point change in the interest level would cause a EUR 1 million (1) change in the following year’s interest expenses of the debt portfolio, including derivatives.</t>
  </si>
  <si>
    <t>• Committed Revolving Credit Facilities totalling EUR 640 million (640).</t>
  </si>
  <si>
    <t>• Finnish Commercial Paper programmes totalling EUR 800 million (800).</t>
  </si>
  <si>
    <t>Wärtsilä Group</t>
  </si>
  <si>
    <t>On 31 December 2019, the Group had temporary differences on which no deferred tax assets were booked totalling EUR 64 million (63), as it is uncertain if they will be realised. Most of the unrecognised deferred tax assets are related to cumulative tax losses. Of these, EUR 29 million (18) will expire within the next five years and the rest will expire later or never. Most of the cumulative tax losses on which deferred tax assets have been booked will never expire.</t>
  </si>
  <si>
    <t>Wärtsilä has defined benefit plans for its employees mainly in Europe and Asia. The major plans are located in Switzerland, Germany, Great Britain and Sweden. The Swiss defined benefit plan accounts for 31% of the Group's total defined benefit obligations and 55% of the plans' assets. Most of the plans provide a lifetime pension to the members at the normal retirement age but there are also plans, which provide a lump sum payment at the retirement date. Most of these defined benefit pension plans are managed by pension funds. Their assets are not included in the Group's assets. The plans' assets are typically invested according to the investment strategies approved by the funds' Board of Trustees, or in some cases they are completely administered by insurance companies. Wärtsilä's subsidiaries make their payments to pension funds in accordance with the local legislation and practice. Authorised actuaries in each country have performed the actuarial calculations required for the defined benefit plans.</t>
  </si>
  <si>
    <t>Wärtsilä operates a defined benefit plan in Switzerland in accordance with the local pension laws and regulations. The plan provides benefits to the members in the form of a pension payable after retirement. The level of benefits provided depends on the accrued retirement savings capital, which is a result of contributions paid up to retirement plus respective interest. The plan is run as a pension fund by the Board of Trustees separately from the company. 
Contributions to the plan are paid both by the employees as well as by the employers based on a percentage of the insured salary as defined in the pension fund regulations. Contributions by the employers vary depending on the age of the employee and cover on average two thirds of the total contributions.
The investment strategy for a pension fund's asset is the responsibility of the Board of Trustees. Assets are invested in accordance with the strategy and the corridors for different investment categories as defined by local laws. Other risks of the plan are longevity of plan members as well as death or disability of employees before their retirement. The pension plan is reinsured for the risk of death and disability until 31 December 2019. Inflationary increases for pensions in payment are at the discretion of the Board of Trustees as benefits paid by the plan are exceeding the minimum level required by law.</t>
  </si>
  <si>
    <t>On 31 December 2019, the weighted average duration of the defined benefit obligation was 12 years. The Group expects to contribute EUR 7 million to the plans during the next financial period.</t>
  </si>
  <si>
    <t>-41</t>
  </si>
  <si>
    <t>51</t>
  </si>
  <si>
    <t>10</t>
  </si>
  <si>
    <t>30</t>
  </si>
  <si>
    <t>-16</t>
  </si>
  <si>
    <t>Additional information on share capital, share premium, translation difference and fair value reserve is presented in Note 26. Equity.</t>
  </si>
  <si>
    <t>Management remuneration is specified in Note 32. Related party disclosures.</t>
  </si>
  <si>
    <t xml:space="preserve">Detailed financial information on the associated companies and joint ventures is presented in Note 17. Investments in associates and joint ventures. </t>
  </si>
  <si>
    <t>Order book at the end of the financial period</t>
  </si>
  <si>
    <t>Working capital (WCAP) at the end of the financial period</t>
  </si>
  <si>
    <t>* Additional information on the number of shares is presented in Note 26. Equity.</t>
  </si>
  <si>
    <t>Cash and cash equivalents pertaining to assets held for sale</t>
  </si>
  <si>
    <t>Some Group companies in countries whose currencies are not fully convertible like Argentina, Brazil and Indonesia have unhedged, intercompany loans nominated either in EUR or USD, which may result in some foreign exchange differences. The total amount of these loans is EUR 192 million (178).</t>
  </si>
  <si>
    <t>Both legs of currency forwards under hedge accounting*</t>
  </si>
  <si>
    <t>Total (single leg)</t>
  </si>
  <si>
    <t>Interest-bearing loan capital at the end of 2019 totalled EUR 908 million (823). The average interest rate was 0.9% (1.0) and the average re-fixing time 21 months (27).</t>
  </si>
  <si>
    <t>Wärtsilä spreads its interest rate risk exposure by taking both fixed and floating rate loans. The share of fixed rate loans as a proportion of the total debt can vary between 30–70%. The Board of Directors has given authorisation to temporarily increase the share of fixed loans up to 100%, and the authorisation is valid until January 2022. Wärtsilä hedges its loan portfolio by using derivative instruments such as interest rate swaps, futures and options.</t>
  </si>
  <si>
    <t>Wärtsila India Private Ltd.</t>
  </si>
  <si>
    <t>Leases not yet commenced, but to which Wärtsilä is committed</t>
  </si>
  <si>
    <t>* EUR 171 million (128) of cash and bank balances relate to cash in countries where repatriation is limited due to local regulation and consequently the cash is not immediately available to the parent company.</t>
  </si>
  <si>
    <t>The Group applies hedge accounting to significant foreign currency forward contracts. Detailed financial information is presented in Note 33. Financial risks.</t>
  </si>
  <si>
    <t>** Valuation for derivatives with negative market value by maturity date. Nominal contractual amounts are presented in Note 30. Derivative financial instruments.</t>
  </si>
  <si>
    <t>Other temporary differences**</t>
  </si>
  <si>
    <t>Other receivables, current</t>
  </si>
  <si>
    <t>Other liabilities, current</t>
  </si>
  <si>
    <t>Other liabilities, non-current</t>
  </si>
  <si>
    <t>Administrative costs</t>
  </si>
  <si>
    <t xml:space="preserve">In addition, the Group had copper futures and swaps amounting to 173 tons (264) valued at EUR 1 million (1).
</t>
  </si>
  <si>
    <t>Foreign currency forward contracts are against transactional risks and fall due during the following 12 months (12). A currency forward is considered closed when there are offsetting cash flows in the same currency with the same value date. Interest rate swaps are denominated in euros and their average maturity is 69 months (48). The average maturity for cross currency swaps is 41 months (54).</t>
  </si>
  <si>
    <t>Net assets</t>
  </si>
  <si>
    <t>Wärtsilä Energy Business leads the transition towards a 100% renewable energy future. Wärtsilä helps its customers unlock the value of the energy transition by optimising their energy systems and future-proofing their assets. Wärtsilä’s offering comprises flexible power plants, energy management and storage systems, as well as lifecycle services that enable increased efficiency and guaranteed performance.
Wärtsilä’s three main customer segments in the energy markets are utilities, independent power producers and industrial customers. Wärtsilä’s energy solutions are used for a wide variety of applications. These include baseload generation, capacity for grid stability, peaking and load-following generation, and for the integration of wind and solar power. Wärtsilä provides its customers with a comprehensive understanding of energy systems, including fully integrated assets and software, complete with value adding lifecycle services.</t>
  </si>
  <si>
    <t>increase more than 15 percentage points</t>
  </si>
  <si>
    <t>increase more than 13 percentage points</t>
  </si>
  <si>
    <t>decrease more than 28 percentage points</t>
  </si>
  <si>
    <t>decrease more than 64 percentage</t>
  </si>
  <si>
    <t>Development costs for internally generated assets capitalised during the financial period amounted to EUR 49 million (30). The carrying amount was EUR 135 million (91).
Purchase price allocation amortisation amounted to EUR 41 million (43) and the carrying amount was EUR 209 million (248).</t>
  </si>
  <si>
    <t>Carrying amount on 1 January 2019</t>
  </si>
  <si>
    <t>Restructuring costs</t>
  </si>
  <si>
    <t>Other restructuring costs and transfer costs</t>
  </si>
  <si>
    <t>Other items affecting comparability</t>
  </si>
  <si>
    <t>Litigation settlements</t>
  </si>
  <si>
    <t>Total of non-current and current interest-bearing debt + total of non-current and current lease liabilities – interest-bearing receivables – cash and cash equivalents</t>
  </si>
  <si>
    <t>* Share based bonuses are measured at fair value at the reporting date. Due to the development of Wärtsilä share price during 2018, impact to the result for the financial period was positive.</t>
  </si>
  <si>
    <t>Additional information on financial liabilities is presented in Note 28. Financial liabilities.</t>
  </si>
  <si>
    <t>Certain income and expenses are presented as items affecting comparability when they have significant impact on the consolidated statement of income. Items affecting comparability consist of income and expenses, which result from restructuring activities aiming to adjust the capacity of Wärtsilä’s operations. They may also include other income and expenses incurred outside Wärtsilä’s normal course of business, such as impairment charges, acquisition related costs, settlements recorded as a result of legal proceedings with third parties or unforeseen obligations from earlier discontinued businesses.</t>
  </si>
  <si>
    <t>Base
currency
received</t>
  </si>
  <si>
    <t>Base
currency
paid</t>
  </si>
  <si>
    <t>* Segment figures in the comparison period 2018 have been restated to reflect the new organisational structure.</t>
  </si>
  <si>
    <t>** Figures in the comparison period 2017 have been restated due to the adoption of IFRS 15.</t>
  </si>
  <si>
    <t>10–12/
2017**</t>
  </si>
  <si>
    <t>Net sales + other operating income – expenses – depreciation, amortisation and impairment +/– share of result of associates and joint ventures</t>
  </si>
  <si>
    <t>Gearing****</t>
  </si>
  <si>
    <t>**** Includes the cash and cash equivalents pertaining to assets held for sale.</t>
  </si>
  <si>
    <t>Approximately 67% (67) of sales and 59% (65) of operating costs in 2019 were denominated in euros, and approximately 20% (21) of sales and 10% (8) of operating costs were denominated in US dollars. The remainder were split between several currencies. The Group’s profits and competitiveness are also indirectly affected by the home currencies of its main competitors: USD, GBP, JPY and KRW.</t>
  </si>
  <si>
    <t>The instruments, and their nominal values, used to hedge the Group’s foreign exchange exposures are listed in Note 30. Derivative financial instruments.</t>
  </si>
  <si>
    <t>Additional information related to loans can be found in Note 18. Financial assets and liabilities by measurement category and Note 28. Financial liabilities.</t>
  </si>
  <si>
    <t>Income taxes related to other comprehensive income are presented in Consolidated statement of comprehensive income. Changes in deferred tax assets and liabilities are presented in Note 24. Deferred taxes.</t>
  </si>
  <si>
    <t>Reclassification to assets held for sale</t>
  </si>
  <si>
    <t>In 2019, the result impact of write-offs was EUR -7 million (1).</t>
  </si>
  <si>
    <t>* In 2019, the result from the ineffective portion of cash flow hedges related to cancelled orders, EUR -5 million (-2), and exchange rate differences from unhedged internal loans, EUR -8 million (-5) were included in exchange rate differences in the consolidated statement of income.</t>
  </si>
  <si>
    <t>Wärtsilä has equity investments totalling EUR 14 million (13) in power plant companies, most of which are located in developing countries and performing well according to expectations. Additional information in Note 18. Financial assets and liabilities by measurement category.</t>
  </si>
  <si>
    <t>The payment for incentive schemes is based on the share price development during a three-year period. The 2017-2019 incentive scheme comprises 4,332,000 rights, the 2018-2020 incentive scheme 3,609,000 rights and the 2019-2021 incentive scheme 5,108,000 rights. For the incentive scheme 2017-2019 the basis of a share price is EUR 16.19, for the incentive scheme 2018-2020 EUR 22.58 and for the incentive scheme 2019-2021 EUR 16.76. The incentive schemes take into account 100% of dividends paid, and the paid bonus cannot exceed EUR 6.07 per incentive right in the 2017-2019 scheme, EUR 8.47 in the 2018-2020 scheme or EUR 6.56 in the 2019-2021 scheme.</t>
  </si>
  <si>
    <t>Wärtsilä’s marine customer base covers all the main vessel segments, including traditional merchant vessels, gas carriers, cruise &amp; ferry, navy, and special vessels. In the oil &amp; gas industry, Wärtsilä is active in serving offshore installations and related industry vessels, as well as land-based gas installations. Wärtsilä’s customers comprise ship owners, shipyards and ship management companies.
In Wärtsilä Marine Business, order intake and net sales for retrofit scrubber projects have been transferred from services to new equipment. The comparison period figures for the segment reporting and the service information have been adjusted to reflect the new reporting structure.</t>
  </si>
  <si>
    <t>Goodwill 2018</t>
  </si>
  <si>
    <t>Goodwill 2019</t>
  </si>
  <si>
    <t>In 2019, the cost for other unlisted shares (level 3) was EUR 18 million (16), and the market value of them was EUR 18 million (16).</t>
  </si>
  <si>
    <t>Försälningsfordringar som gäller intäkter från avtal med kunder är icke räntevärande fordringar. Försäljningsfordringarna har minskat under 2019 främst på grund av omklassifering till tillgångar som innehas för försäljning och betalning för vissa förfallna fordrinagar har erhållits.
Avtalstillgångarna omfattade främst koncernens rätt till ersättning för överförda varor eller service, som inte ännu fakturerats vid bokslutstidpunkten.
Avtalsskulderna gällde främst ersättning för kundavtal som erhållits på förhand och vars motsvarande produkt eller service inte ännu överförts till kunden.
Avtalstillgångarna och -skulderna uppkom främst från långvariga serviceavtal och projekt vars intäkter redovisas över tid, som kontruktionsprojekt inom gas solutions, projekt för integrerade lösningar, fartygsdesign samt avtal om nyckelfärdiga lösningar inom Energy solutions. Minskningen i avtalastillgångar under 2019 orsakades av både omklassifering till tillgångar som innehas för försäljning och affärverksamheten typisk variation, mestadels inom Marine solutions-projekt. Utöver detta har avtalstillgångarna från vissa långsiktiga serviceavtal minskat. Ökningen i avtalsskulderna under 2019  påverkades av sedvanlig fluktuation i project i båda segmenten.</t>
  </si>
  <si>
    <t>decrease more than 66 percentage</t>
  </si>
  <si>
    <t>* Other receivables includes payroll related tax receivables of EUR 9 million (9) in Brazil, which cannot be utilised likely within a year. Other receivables also includes a receivable of EUR 21 million (20) relating to disposal of pumps business. The receivable has been classified as current receivable in 2019.</t>
  </si>
  <si>
    <t>Against
fixed
sales
and
purchase
contracts</t>
  </si>
  <si>
    <t>Against
net
loans</t>
  </si>
  <si>
    <t>The credit risks related to the placement of liquid funds and to trading in financial instruments are minimised by setting explicit limits for the counterparties and by making agreements only with the most reputable domestic and international banks and financial institutions. As only high credit quality (A- minimum rating requirement) counterparties are utilised for derivative financial instruments and the transactions are done under ISDA Master Agreements, no credit losses are expected from these instruments.</t>
  </si>
  <si>
    <t>1–3 years</t>
  </si>
  <si>
    <t>3–5 years</t>
  </si>
  <si>
    <t>As a result of the impairment test, no impairment loss for the CGU was recognised for the financial period ended 31 December 2018. The recoverable amount from the CGU exceeded its carrying value remarkably.</t>
  </si>
  <si>
    <t>Since Wärtsilä has subsidiaries and joint ventures outside the euro zone, the Group’s equity, goodwill and purchase price allocations are sensitive to exchange rate fluctuations. At the end of  2019, the net assets of Wärtsilä’s foreign subsidiaries and joint ventures outside the euro zone totalled EUR 1,041million (979). In addition, goodwill and purchase price allocations from acquisitions nominated in foreign currencies amounted to EUR 926 million (932). In 2019, the translation differences recognised in OCI mainly come from changes in GBP exchange rate.</t>
  </si>
  <si>
    <t>*** Includes cash and cash equivalents pertaining to assets held for sale.</t>
  </si>
  <si>
    <t>746*</t>
  </si>
  <si>
    <t>73*</t>
  </si>
  <si>
    <t>215**</t>
  </si>
  <si>
    <t>-369***</t>
  </si>
  <si>
    <t>Cash and cash equivalents at the end of the financial period*</t>
  </si>
  <si>
    <t>Nominal amounts of lease liabilities</t>
  </si>
  <si>
    <t>of which remaining performance obligations from projects and contracts under execution</t>
  </si>
  <si>
    <t xml:space="preserve">Marine power solutions </t>
  </si>
  <si>
    <t>Processing solutions</t>
  </si>
  <si>
    <t>Voyage solutions</t>
  </si>
  <si>
    <t>· Entertainment systems</t>
  </si>
  <si>
    <t>Non-current
assets</t>
  </si>
  <si>
    <t>Nominal amounts of rents according to leasing contracts*</t>
  </si>
  <si>
    <t>Unsatisfied performance obligations, all revenue types</t>
  </si>
  <si>
    <t>Wärtsilä is exposed to interest rate risk primarily through market value changes to the net debt portfolio (price risk) and also through changes in interest rates (re-fixing on rollovers). Interest rate risk is managed by constantly monitoring the market value of the financial instruments and by using sensitivity analysis.</t>
  </si>
  <si>
    <t>Goodwill per cash generating unit</t>
  </si>
  <si>
    <t>decrease more than 35 percentage points</t>
  </si>
  <si>
    <t>Fixed sales and purchase contracts are usually hedged by using foreign exchange forwards to offset currency spot rate related changes to the value of the underlying cash flows. As the aim is to hedge and apply hedge accounting (cash flow hedging) only to the foreign exchange spot risk, all interest rate/hedge timing related gains/losses are booked directly into the financial items. As the underlying cash flows can have long maturities, the related hedges can be done with shorter maturities and they can be rolled over when needed, so that at the maturity the total currency rate related gains/losses from these hedges are expected to fully offset the related gains/losses from the underlying cash flows. Because the hedge relation is based on matching critical terms (except the timing), the hedge ratio is 1:1. A cancellation or reduction of sales/purchase value of an order can cause adjustment to the related hedge and any related gains/losses will be immediately recognised in the statement of income.</t>
  </si>
  <si>
    <t>Profit for the financial period from the discontinued operations</t>
  </si>
  <si>
    <t>Wärtsilä provides certain financial performance measures, which are accounting measures that are not defined by IFRS. These alternative performance measures, such as comparable operating result, comparable adjusted EBITA, cash flow from operating activities, and gearing, are followed and used by management to measure the Group's performance and financial position. In addition, Wärtsilä's targets of financial performance are linked to for example comparable operating result and gearing. Thus, these alternative performance measures provide useful information to the capital markets.
The alternative performance measures should not be evaluated in isolation from the IFRS measures. The alternative performance measure calculation definitions are disclosed in section Calculations of financial ratios.</t>
  </si>
  <si>
    <t>Investments in securities and acquisitions + investments in intangible assets and property, plant and equipment</t>
  </si>
  <si>
    <t>Total amount of orders received during the financial period to be delivered either during the current financial period or thereafter.</t>
  </si>
  <si>
    <t>* Cash and cash equivalents at the end of the financial period include the cash and cash equivalents pertaining to assets held for sale.</t>
  </si>
  <si>
    <t>Wärtsilä’s aim is to lead the industry’s transformation towards a Smart Marine Ecosystem. Building on a sound foundation of being a leading provider of innovative products, integrated solutions and lifecycle services to the marine and oil &amp; gas industries, Wärtsilä Marine aims to unlock new customer values through connectivity, digitalisation and smart technology. Wärtsilä provides marine power solutions, processing solutions and voyage solutions, which are supported by a broad scope of services ranging from spare part delivery to optimising customer operations, providing performance guarantees and offering cyber intelligence and incident support.
Wärtsilä Marine Business derives its revenues from the following products and services:</t>
  </si>
  <si>
    <t>· Power supply</t>
  </si>
  <si>
    <t>Wärtsilä discloses comparable performance measures to enhance comparability between periods. Certain income and expenses are presented as items affecting comparability when they have significant impact on the consolidated statement of income. Items affecting comparability consist of income and expenses, which result from restructuring activities aiming to adjust the capacity of Wärtsilä’s operations. They may also include other income and expenses incurred outside Wärtsilä’s normal course of business, such as impairment charges, acquisition related costs, settlements recorded as a result of legal proceedings with third parties or unforeseen obligations from earlier discontinued businesses. 
The reconciliation of comparable operating result to operating result is presented in the table below:</t>
  </si>
  <si>
    <t>Total consideration</t>
  </si>
  <si>
    <t>Cash flow from the acquisition</t>
  </si>
  <si>
    <t>The assets and liabilities arising from the acquisition</t>
  </si>
  <si>
    <t>The following tables summarise the amounts for the consideration paid for Transas, the cash flow from the acquisition, and the amounts of the assets acquired and liabilities assumed recognised at the acquisition date.</t>
  </si>
  <si>
    <t>The goodwill of EUR 113 million reflects the value of know-how and expertise in digital marine solutions and services. The acquisition takes Wärtsilä a significant step closer to achieving its mission of enabling sustainable societies with smart technologies. It will also speed delivery on the company’s promise to disrupt the industry by establishing an ecosystem that is digitally connected across the entire supply chain, through applications that are secure, smart and cloud-based.</t>
  </si>
  <si>
    <t>The following tables summarise the amounts for the consideration paid, the cash flow from the acquisitions and the amounts of the assets acquired and liabilities assumed recognised at the acquisition dates.</t>
  </si>
  <si>
    <t>Cash flow from the acquisitions</t>
  </si>
  <si>
    <t>The assets and liabilities arising from the acquisitions</t>
  </si>
  <si>
    <t>The goodwill of EUR 13 million reflects the value of know-how and expertise in advanced underwater services.</t>
  </si>
  <si>
    <t>Interest expenses on lease liabilities recognised at amortised cost</t>
  </si>
  <si>
    <t>Goodwill arising from business acquisitions is allocated to the Group cash generating unit (CGU) that is the Group´s operating segment. The operating segment represents the lowest level within the Group at which the goodwill is monitored. The companies acquired during the financial period are integrated to the Group CGU at the acquisition date. Previously separately presented CGUs have also been integrated to the Group CGU during the financial period. The goodwill per CGU is presented in the table below:</t>
  </si>
  <si>
    <t>The management has assessed that no reasonable possible changes in the key assumptions would cause the CGU´s carrying amount to exceed its recoverable amount. Sensitivity analysis have been carried out for the valuation of the recoverable amount for the CGU by changing the assumptions used in the calculation. A change in an assumption that would cause the recoverable amount to equal the carrying amount is presented in the table below:</t>
  </si>
  <si>
    <t>The applied discount rate is the weighted average pre-tax cost of capital (WACC) as defined by Wärtsilä. The components of the WACC are risk-free rate, market risk premium, industry specific beta, cost of debt and debt equity ratio. When defining the WACC for 2018, it has been considered that the general interest rate is currently on a lower level. Wärtsilä has used a WACC of 8.9% in the calculations.</t>
  </si>
  <si>
    <t>15. Property, plant and equipment</t>
  </si>
  <si>
    <t>Transfer to right-of-use assets</t>
  </si>
  <si>
    <t>Acquisi-
tions</t>
  </si>
  <si>
    <t>Wärtsilä's share does not have a nominal value. Wärtsilä has one series of shares. Each share is assigned one vote in the Annual General Meeting and has equal right to dividend.</t>
  </si>
  <si>
    <t>Share premium is restricted equity. It may be reduced in accordance with the rules applying to decreasing share capital in accordance with the Finnish Limited Liability Companies Act. It can also be used to increase the share capital.</t>
  </si>
  <si>
    <t>Interest expenses for long-term loans are calculated by using the average interest rate prevailing on 31 December 2019. Fair values of financial liabilities are presented in Note 18. Financial assets and liabilities by measurement category.</t>
  </si>
  <si>
    <t>0.48**</t>
  </si>
  <si>
    <t>284**</t>
  </si>
  <si>
    <t>130.8**</t>
  </si>
  <si>
    <t>After the balance sheet date, the Board of Directors proposed that a dividend of EUR 0.48 per share be paid for the financial period 2019, total dividend payable being EUR 284 million. The remaining part of the retained profits will be carried further in the unrestricted equity. For the profit for the financial period 2018, a dividend of EUR 0.48 per share was distributed, totalling EUR 284 million, and the rest of the retained profits were carried further in the unrestricted equity.</t>
  </si>
  <si>
    <t>The average maturity of the non-current debt is 46 months (49) and the average maturity of the confirmed credit lines is 30 months (31). Additional information in Note 28. Financial liabilities.</t>
  </si>
  <si>
    <t>and land-based applications</t>
  </si>
  <si>
    <t>The fair values of the acquired identifiable intangible assets at the date of the acquisition (including technology, customer relations, and trademarks) amounted to EUR 55 million. The fair value of the current trade receivables and other receivables is approximately EUR 50 million. The fair value of the trade receivables does not include any significant risk.</t>
  </si>
  <si>
    <t>The fair values of acquired identifiable intangible assets at the dates of the acquisitions (including technology, customer relations, and trademarks) amounted to EUR 10 million. The fair value of current trade receivables and other receivables is approximately EUR 6 million. The fair value of the trade receivables does not include any significant risk.</t>
  </si>
  <si>
    <t>* Other taxes consist mainly of withholding taxes not utilised and taxes not directly based on taxable income.</t>
  </si>
  <si>
    <t>Other adjustments</t>
  </si>
  <si>
    <r>
      <t xml:space="preserve">Expense </t>
    </r>
    <r>
      <rPr>
        <sz val="8"/>
        <rFont val="Calibri"/>
        <family val="2"/>
      </rPr>
      <t>–</t>
    </r>
    <r>
      <rPr>
        <sz val="8"/>
        <rFont val="Arial"/>
        <family val="2"/>
      </rPr>
      <t xml:space="preserve"> short-term leases</t>
    </r>
  </si>
  <si>
    <t>Expense – leases of low-value assets</t>
  </si>
  <si>
    <t>Expense – variable lease payments</t>
  </si>
  <si>
    <t>Liability for other long-term employee benefits on 31 December</t>
  </si>
  <si>
    <t>* Due to the implementation of IFRS 16, lease liabilities have been included in the consolidated statement of financial position starting from financial period 2019.</t>
  </si>
  <si>
    <t>The objective is to hedge against unfavourable changes in the financial markets and to minimise the impact of foreign exchange, interest rate, credit and liquidity risks on the Group’s cash reserves, profits and shareholders’ equity.</t>
  </si>
  <si>
    <t>IFRS hedge accounting has been applied to EUR 2,448 million (2,355) currency forwards. A 5% change in the exchange rates would cause from these currency forwards an approximately EUR 74 million (60) impact on the equity. As all material fixed sales and purchase contracts are hedged, the profit and loss sensitivity of foreign exchange from operations (excluding internal financing) is considered minimal.</t>
  </si>
  <si>
    <t>Changes in the market value of interest rate derivatives are usually immediately recognised into the statement of income. However, cash flow hedge accounting in accordance with IFRS 9 is applied to a EUR 130 million amortising interest rate swap maturing in 2031. The interest rate hedge swaps variable interest payments of a large lease agreement to fixed. As the hedge and the underlying cash flow have matching critical terms, the hedge ratio is 1:1 and the hedge is expected to be 100% effective. In 2019, EUR 2 million fair value adjustment related to cash flow hedge was recognised in equity and no amounts have been reclassified to profit and loss.</t>
  </si>
  <si>
    <t>In December, Wärtsilä announced the divestment of shares in Wärtsilä ELAC Nautik GmbH (ELAC Nautik) to Cohort plc. ELAC Nautik's main market focus is on hydroacoustic products, including sonars, underwater communication systems and echo systems for small and medium sized military submarines. 
Wärtsilä, through its Smart Marine Ecosystem approach, is leading the marine industry’s transition into a new era of high efficiency, greater safety, and outstanding environmental performance. As this is Wärtsilä's core strategy for Marine Business, and ELAC Nautik business has no clear synergistic link to Wärtsilä’s Smart Marine activities in transforming the marine sector, the portfolio is aligned to those growth businesses that can drive this transition.
Additionally, Wärtsilä has started preparations to divest its Entertainment business, which is also classified as assets held for sale.
The assets held for sale belong to the Wärtsilä Marine Business segment and they are valued at the lower of book value or fair value. 
Subject to approvals, completion of these transactions is expected in the early part of 2020.</t>
  </si>
  <si>
    <t xml:space="preserve">In 2019, the AGM appointed the audit firm PricewaterhouseCoopers Oy as Wärtsilä Corporation's auditor. PricewaterhouseCoopers Oy has provided non-audit services to entities of Wärtsilä Group totalling 481 thousand euros. These services included tax services (215 thousand euros) and other services (266 thousand euros). </t>
  </si>
  <si>
    <t>As of 2019 Wärtsilä is organised into two business areas, Wärtsilä Marine Business and Wärtsilä Energy Business, according to its two main customer markets. The Businesses cover both new equipment sales and services for their respective markets. The new organisational structure enables Wärtsilä to accelerate growth and the implementation of its Smart Marine and Smart Energy strategies. Integrating newbuild and service activities enhances customer value by strengthening the focus on complete lifecycle solutions tailored to specific market needs. Wärtsilä Marine Business and Wärtsilä Energy Business constitute Wärtsilä’s operating and reportable segments.
Wärtsilä's highest operative decision maker (CODM, Chief Operating Decision Maker) is the President and CEO, with the support of the Board of Management and in some cases the Board of Directors.
Wärtsilä Marine Business and Wärtsilä Energy Business are both led by Presidents of respective business area and both are supported by Business management teams. Discrete financial information for the Businesses is provided to the CODM to support decision-making. The segment information presented by Wärtsilä reflects the internal management reporting. The segment information is reported to the level of operating result, as items below the operating result are not allocated to segments. The comparable operating result is used by the CODM also to measure the performance, both on segment and Group level. Assets and liabilities are measured on Group level and not allocated to segments.
Internal sales between segments is not reported in the management reporting, revenue and costs of sales are recognised directly to the respective customer projects and orders. The main factors affecting the allocation of indirect and administration costs to the segments are net sales and personnel amount. Management considers these allocation principles the most suitable to reflect the cost carried by each segment. The allocation principles are reviewed regularly.</t>
  </si>
  <si>
    <t xml:space="preserve">Wärtsilä provides certain financial performance measures, which are not defined by IFRS. These alternative performance measures are followed and used by management to measure the Group's performance and financial position. These alternative performance measures also provide useful information to the capital markets. 
The alternative performance measures should not be evaluated in isolation from the IFRS measures. The alternative performance measure calculation definitions are disclosed in Calculations of financial ratios.  </t>
  </si>
  <si>
    <t>Earnings per share is calculated by dividing the profit for the financial period attributable to equity holders of the parent company by the adjusted average number of shares outstanding. During the financial periods there were no programmes with dilutive effect.</t>
  </si>
  <si>
    <t>adjusted average number of shares outstanding*</t>
  </si>
  <si>
    <t>Goodwill arising from business acquisitions is allocated to the Group cash generating units (CGU) that are the Group´s operating segments Wärtsilä Marine Business and Wärtsilä Energy Business. As of 1 January 2019 the goodwill formerly allocated to the Group CGU has been allocated to the respective CGUs based on the fair value of the operating segments. The operating segments represent the lowest level within the Group at which the goodwill is monitored. The companies acquired during the financial period are integrated to the the respective CGU at the acquisition date. The goodwill per CGU is presented in the table below.</t>
  </si>
  <si>
    <t>Depreciation and impairment of right-of-use assets</t>
  </si>
  <si>
    <t xml:space="preserve">CSSC Wärtsilä Engine (Shanghai) Co., Ltd. factory is manufacturing medium and large bore medium speed diesel and dual-fuel engines at Lingang, Shanghai. Wärtsilä Hyundai Engine Co Ltd. manufactures Wärtsilä 50DF dual-fuel engines for LNG carriers and other marine application in Mokpo, South Korea. Wärtsilä Qiyao Diesel Company Ltd. manufactures marine auxiliary engines in Shanghai, China. CSSC Wärtsilä Electrical &amp; Automation Co., Ltd. manufactures advanced electronical and automation solutions for cruise industry. </t>
  </si>
  <si>
    <t>In 2019, the principles for estimating inventory write-down have been adjusted. The current principles are based on a range of coverage, which specifies how long the available quantity of material at a certain date or period can cover the requirements in a subsequent period. In 2019, the total impact is EUR 11 million from the change of write-down estimates to the value of the inventories.</t>
  </si>
  <si>
    <t>Net debt</t>
  </si>
  <si>
    <t>* Finance lease liabilities have been classified in line with IFRS 16 separately under lease liabilities.</t>
  </si>
  <si>
    <t>** Lease liabilities according to IFRS 16.</t>
  </si>
  <si>
    <t>Past service cost</t>
  </si>
  <si>
    <t>The expected credit losses associated with investments carried at amortised cost are assessed on a forward-looking basis based on investment maturity dates and counterparty credit risk on quarterly basis. As of 31 December 2019 the expected credit loss was not material.</t>
  </si>
  <si>
    <t>Past due more than 1 year</t>
  </si>
  <si>
    <t>For trade receivables and receivables from revenue recognised over time in accordance with the input method, simplified approach is used and the loss allowance is measured at the estimate of the lifetime expected credit losses. Receivables from revenue recognised over time in accordance with the input method are usually covered with advance payments collected from customers. Thus, recognising credit losses based on the lifetime expected loss amounts mainly concerns trade receivables. For trade receivables not due or maximum 359 days overdue, an impairment of 0.1%–2.0% is made, depending on the aging category and the origin of the receivable. In calculating the expected credit loss rates, the Group considers historical loss rates for each category, and adjusts for forward-looking macroeconomic data. In addition to that, trade receivables more than 360 days old are assessed for impairment individually.</t>
  </si>
  <si>
    <t>In the capital management Wärtsilä also follows the solvency development:</t>
  </si>
  <si>
    <t>343*</t>
  </si>
  <si>
    <t>* In addition, the Group has cash and cash equivalents measured at amortised cost of EUR 11 million related to assets held for sale.</t>
  </si>
  <si>
    <t>In addition, the Group has cash and cash equivalents of EUR 11 million related to assets held for sale.</t>
  </si>
  <si>
    <t>On 31 October 2018, Wärtsilä divested its pumps business to Solix Group, a Scandinavian investment company. Wärtsilä Pumps has belonged to the Wärtsilä Marine Solutions organisation and became part of the Group along with the acquisition of Hamworthy in 2012. The Wärtsilä Pumps business recorded sales of approximately EUR 50 million in 2017. The cash consideration of the transaction was EUR 45 million, and in addition EUR 20 million of the transaction price was reported as a receivable in the non-current other receivables in the consolidated statement of financial position in 2018. Wärtsilä reported a gain of EUR 27 million in other operating income from the transaction.</t>
  </si>
  <si>
    <t xml:space="preserve">In 2019, EUR 4 million (-14) fair value adjustments related to cash flow hedges were recognised in equity. EUR 19 million (-8) of the fair value adjustments were transferred from equity to the statement of income as net sales or operating expenses during 2019. In 2019, the result from ineffective portion of the cash flow hedges or gain/loss from cancelled projects was EUR -5 million (-2), which was booked in financial items and specified in Note 11. Financial income and expenses. </t>
  </si>
  <si>
    <t>As the main funding currency for Wärtsilä Group including the Group Treasury is euro and the subsidiaries are normally funded in their home currencies by the Group Treasury, the Group Treasury had the following related open currency positions as of 31 December 2019.</t>
  </si>
  <si>
    <t>As Wärtsilä's operations are global they often involve currency risks. The largest operative currency positions (excluding financing) open as of 31 December 2019 by currency pair are listed below.</t>
  </si>
  <si>
    <t>The open operative currency positions including financing are hedged by using derivative financial instruments according to the table below.</t>
  </si>
  <si>
    <t>Other currencies</t>
  </si>
  <si>
    <t>Other currencies*</t>
  </si>
  <si>
    <t>* Other currencies does not include any material single currencies.</t>
  </si>
  <si>
    <t>246**</t>
  </si>
  <si>
    <t>** External JPY loans are fully hedged with cross currency swaps.</t>
  </si>
  <si>
    <t>* The other currencies do not net as they are of different currencies.</t>
  </si>
  <si>
    <t>Non-controlling interests are not significant in the Group's activities and cash flows in individual subsidiaries.
The list excludes subsidiaries, which do not have a significant impact on the profit or assets of the Group. A complete list of shares and securities in accordance with the Finnish Accounting Ordinance is included in the official financial statements of the parent company prepared with the Finnish Accounting Standards (FAS).</t>
  </si>
  <si>
    <t>The holdings of Wärtsilä shares of the President and CEO, and the members of the Board of Directors and the Board of Management at year-end were 289,036  shares (304,439).</t>
  </si>
  <si>
    <t>The applied discount rates are the weighted average pre-tax cost of capital (WACC) for each CGU as defined by Wärtsilä. The components of the WACC rates are risk-free rate, market risk premium, industry specific beta, cost of debt and debt equity ratio. Wärtsilä has used a WACC rate of 9.1%  in the calculations for Wärtsilä Marine Business CGU and a WACC rate of 9.4% for Wärtsilä Energy Business CGU.</t>
  </si>
  <si>
    <t>The management has assessed that no reasonable possible changes in the key assumptions would cause carrying amount of either CGU to exceed its recoverable amount. Sensitivity analysis has been carried out for the valuation of the recoverable amount for each CGU by changing the assumptions used in the calculation. A change in an assumption that would cause the recoverable amount to equal the carrying amount is presented in the table below separately for each CGU.</t>
  </si>
  <si>
    <t>During the financial period 1 January - 31 December 2019 and 1 January - 31 December 2018 Wärtsilä did not have any individual significant customers or countries. The sales to the USA represented 11% (14) and sales to China 11% (7) of the total net sales.</t>
  </si>
  <si>
    <t>At year-end, the Group had cash and cash equivalents totalling EUR 369 million (487), of which EUR 11 million is related to assets held for sale, as well as EUR 640 million (640) non-utilised committed credit facilities. Commercial Paper Programmes were not utilised on 31 December 2019 nor on 31 December 2018.</t>
  </si>
  <si>
    <t>As a result of the impairment test, no impairment loss for the CGUs was recognised for the financial period ended 31 December 2019. The recoverable amounts from both the CGUs exceeded their respective carrying value substantially.</t>
  </si>
  <si>
    <t>** Includes EUR -11 million utilisation of deferred tax assets.</t>
  </si>
  <si>
    <t>In addition to segment information, Wärtsilä reports the services revenue and order intake for both segments. Wärtsilä continues to report information for the geographical areas Finland, other European countries, Asia, the Americas, and other. In the geographical information net sales are split by customer destination and non-current assets by customer origin. Non-current assets consist of goodwill, intangible assets, property, plant and equipment, right-of-use assets, and investments in associates and joint ventures.</t>
  </si>
  <si>
    <t xml:space="preserve">In May, Wärtsilä acquired 100% of Ships Electronic Services Ltd (“SES”), a UK based company specialising in navigation and communication electronics, installation, maintenance and repair services, mainly for commercial and leisure vessels. SES’ turnover was approximately GBP 10 million and the company employed a staff of 47. The enterprise value of the transaction was GBP 3.2 million.
The consideration paid and the impact on profit for the financial period are not significant. </t>
  </si>
  <si>
    <t>Trade receivables related to contracts with customers are non-interest-bearing receivables. Trade receivables have decreased during 2019 due to reclassification to assets held for sale as well as  through collection of  overdue receivables.
Contract assets primarily relate to the Group’s right to consideration for transferred goods or services, but which is not yet billed at the reporting date. The contract assets are transferred to receivables when the rights become unconditional. 
The contract liabilities mainly relate to the advance consideration received from customers for contracts, but for which the corresponding good or service has not yet been transferred.
The contract assets and liabilities arise from long-term service agreements and projects recognised over time such as gas solutions construction contracts, integrated solutions projects, ship design, and energy solutions turnkey contracts. The decrease in contract assets in 2019 contains reclassification to assets held for sale and  usual business-related variation mainly in Marine Business projects. In addition, the accrued revenue has decreased in long-term service agreements. The decrease in contract liabilities in 2019 arises from usual business-related variation in projects in both segments.</t>
  </si>
  <si>
    <t>Committed Revolving Credit Facilities as well as the parent company's long-term loans include a financial covenant (solvency ratio). Solvency ratio is expected to remain clearly over the covenant level for the foreseeable future.</t>
  </si>
  <si>
    <t>The subscription price of a share received by the company in connection with share issues is credited to the share capital, unless it is provided in the share issue decision that a part of the subscription price is to be recorded in the fund for invested non-restricted equity.</t>
  </si>
  <si>
    <t>Wages and salaries include EUR 4 million expenses arising from share based long-term incentive schemes (previous year positive impact EUR 21 million). At the end of 2019 Wärtsilä had three long-term incentive schemes active.  These schemes are tied to the price development of the company’s share during a pre-determined timeframe, and an upper limit is set for the payable incentive. When an incentive scheme ends and the employment requirement is fulfilled, the incentive is settled in cash (2017-2019 and 2018-2020 incentives schemes) or in company shares (2019-2021 incentive scheme). The Board of Management members shall acquire Wärtsilä shares with 50% of the net bonuses received, until the share ownership corresponding to the individuals' annual gross base salary level has been achieved.</t>
  </si>
  <si>
    <t>The incentive rights, which are settled in cash, are valued and recognised at fair value at the balance sheet date taking into account the proportion of vesting period passed. The incentive rights, which are settled in company shares, are valued at fair value at the grant date of the scheme and expensed evenly during the vesting period. The fair value determined for the incentive right in 2019-2021 scheme is EUR 2.69.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</si>
</sst>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
    <numFmt numFmtId="166" formatCode="0.000"/>
    <numFmt numFmtId="167" formatCode="0.00000"/>
    <numFmt numFmtId="168" formatCode="#,##0.000"/>
    <numFmt numFmtId="169" formatCode="#,##0.000000"/>
    <numFmt numFmtId="170" formatCode="###,###,##0"/>
    <numFmt numFmtId="171" formatCode="###,###,##0.000"/>
    <numFmt numFmtId="172" formatCode="#,##0.00000"/>
    <numFmt numFmtId="173" formatCode="[$-409]mmm\-yy;@"/>
  </numFmts>
  <fonts count="78">
    <font>
      <sz val="8"/>
      <name val="Frutiger 45 Ligh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Frutiger 45 Light"/>
    </font>
    <font>
      <b/>
      <sz val="8"/>
      <name val="Frutiger 45 Light"/>
      <family val="2"/>
    </font>
    <font>
      <sz val="8"/>
      <name val="Frutiger 45 Light"/>
      <family val="2"/>
    </font>
    <font>
      <sz val="8"/>
      <color indexed="10"/>
      <name val="Arial"/>
      <family val="2"/>
    </font>
    <font>
      <sz val="8"/>
      <name val="Arial"/>
      <family val="2"/>
    </font>
    <font>
      <b/>
      <sz val="8"/>
      <name val="Arial"/>
      <family val="2"/>
    </font>
    <font>
      <sz val="8"/>
      <name val="Frutiger 45 Light"/>
    </font>
    <font>
      <u/>
      <sz val="8"/>
      <color indexed="12"/>
      <name val="Frutiger 45 Light"/>
    </font>
    <font>
      <b/>
      <sz val="8"/>
      <name val="Frutiger 45 Light"/>
    </font>
    <font>
      <i/>
      <sz val="8"/>
      <color indexed="10"/>
      <name val="Frutiger 45 Light"/>
    </font>
    <font>
      <b/>
      <sz val="8"/>
      <color indexed="8"/>
      <name val="Arial"/>
      <family val="2"/>
    </font>
    <font>
      <b/>
      <sz val="8"/>
      <color indexed="12"/>
      <name val="Frutiger 45 Light"/>
    </font>
    <font>
      <sz val="8"/>
      <color indexed="12"/>
      <name val="Frutiger 45 Light"/>
    </font>
    <font>
      <b/>
      <sz val="6"/>
      <color indexed="12"/>
      <name val="Frutiger 45 Light"/>
    </font>
    <font>
      <b/>
      <sz val="8"/>
      <color indexed="12"/>
      <name val="Arial"/>
      <family val="2"/>
    </font>
    <font>
      <sz val="8"/>
      <color indexed="12"/>
      <name val="Arial"/>
      <family val="2"/>
    </font>
    <font>
      <i/>
      <sz val="8"/>
      <color indexed="45"/>
      <name val="Frutiger 45 Light"/>
    </font>
    <font>
      <i/>
      <sz val="8"/>
      <name val="Arial"/>
      <family val="2"/>
    </font>
    <font>
      <i/>
      <sz val="8"/>
      <name val="Frutiger 45 Light"/>
    </font>
    <font>
      <sz val="8"/>
      <name val="Helv"/>
    </font>
    <font>
      <b/>
      <sz val="14"/>
      <color indexed="10"/>
      <name val="Frutiger 45 Light"/>
    </font>
    <font>
      <sz val="8"/>
      <color indexed="9"/>
      <name val="Frutiger 45 Light"/>
    </font>
    <font>
      <sz val="8"/>
      <color indexed="10"/>
      <name val="Frutiger 45 Light"/>
    </font>
    <font>
      <b/>
      <i/>
      <sz val="8"/>
      <color indexed="20"/>
      <name val="Arial"/>
      <family val="2"/>
    </font>
    <font>
      <i/>
      <sz val="8"/>
      <color indexed="20"/>
      <name val="Arial"/>
      <family val="2"/>
    </font>
    <font>
      <i/>
      <sz val="8"/>
      <color indexed="20"/>
      <name val="Frutiger 45 Light"/>
    </font>
    <font>
      <i/>
      <sz val="6"/>
      <color indexed="20"/>
      <name val="Arial"/>
      <family val="2"/>
    </font>
    <font>
      <b/>
      <sz val="12"/>
      <name val="Arial"/>
      <family val="2"/>
    </font>
    <font>
      <b/>
      <sz val="8"/>
      <color indexed="81"/>
      <name val="Tahoma"/>
      <family val="2"/>
    </font>
    <font>
      <sz val="10"/>
      <name val="Arial"/>
      <family val="2"/>
    </font>
    <font>
      <sz val="10"/>
      <name val="Arial"/>
      <family val="2"/>
    </font>
    <font>
      <sz val="10"/>
      <name val="MS Sans Serif"/>
      <family val="2"/>
    </font>
    <font>
      <sz val="12"/>
      <name val="Times New Roman"/>
      <family val="1"/>
    </font>
    <font>
      <sz val="12"/>
      <name val="Arial"/>
      <family val="2"/>
    </font>
    <font>
      <b/>
      <sz val="10"/>
      <name val="Arial"/>
      <family val="2"/>
    </font>
    <font>
      <sz val="8"/>
      <name val="Arial"/>
      <family val="2"/>
    </font>
    <font>
      <sz val="9"/>
      <name val="Arial"/>
      <family val="2"/>
    </font>
    <font>
      <b/>
      <sz val="9"/>
      <name val="Arial"/>
      <family val="2"/>
    </font>
    <font>
      <sz val="18"/>
      <name val="Arial"/>
      <family val="2"/>
    </font>
    <font>
      <sz val="10"/>
      <color indexed="10"/>
      <name val="Arial"/>
      <family val="2"/>
    </font>
    <font>
      <i/>
      <sz val="12"/>
      <color indexed="12"/>
      <name val="Arial"/>
      <family val="2"/>
    </font>
    <font>
      <sz val="18"/>
      <color indexed="23"/>
      <name val="Arial"/>
      <family val="2"/>
    </font>
    <font>
      <b/>
      <sz val="12"/>
      <color indexed="23"/>
      <name val="Arial"/>
      <family val="2"/>
    </font>
    <font>
      <sz val="8"/>
      <name val="Frutiger 45 Light"/>
    </font>
    <font>
      <i/>
      <sz val="8"/>
      <color indexed="12"/>
      <name val="Arial"/>
      <family val="2"/>
    </font>
    <font>
      <sz val="12"/>
      <color indexed="20"/>
      <name val="Arial"/>
      <family val="2"/>
    </font>
    <font>
      <b/>
      <sz val="8"/>
      <color indexed="23"/>
      <name val="Arial"/>
      <family val="2"/>
    </font>
    <font>
      <sz val="8"/>
      <color indexed="9"/>
      <name val="Arial"/>
      <family val="2"/>
    </font>
    <font>
      <b/>
      <sz val="7"/>
      <name val="Arial"/>
      <family val="2"/>
    </font>
    <font>
      <sz val="7"/>
      <name val="Arial"/>
      <family val="2"/>
    </font>
    <font>
      <u/>
      <sz val="8"/>
      <name val="Frutiger 45 Light"/>
    </font>
    <font>
      <sz val="8"/>
      <color theme="1"/>
      <name val="Arial"/>
      <family val="2"/>
    </font>
    <font>
      <b/>
      <sz val="8"/>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8"/>
      <name val="Arial"/>
      <family val="2"/>
    </font>
    <font>
      <sz val="8"/>
      <name val="Calibri"/>
      <family val="2"/>
    </font>
    <font>
      <u/>
      <sz val="8"/>
      <color theme="10"/>
      <name val="Frutiger 45 Light"/>
    </font>
  </fonts>
  <fills count="39">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rgb="FFEBEBEB"/>
        <bgColor indexed="64"/>
      </patternFill>
    </fill>
  </fills>
  <borders count="36">
    <border>
      <left/>
      <right/>
      <top/>
      <bottom/>
      <diagonal/>
    </border>
    <border>
      <left/>
      <right/>
      <top/>
      <bottom style="hair">
        <color auto="1"/>
      </bottom>
      <diagonal/>
    </border>
    <border>
      <left/>
      <right/>
      <top/>
      <bottom style="thin">
        <color auto="1"/>
      </bottom>
      <diagonal/>
    </border>
    <border>
      <left/>
      <right/>
      <top/>
      <bottom style="double">
        <color auto="1"/>
      </bottom>
      <diagonal/>
    </border>
    <border>
      <left/>
      <right/>
      <top style="thin">
        <color auto="1"/>
      </top>
      <bottom style="double">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bottom style="thin">
        <color indexed="53"/>
      </bottom>
      <diagonal/>
    </border>
    <border>
      <left/>
      <right/>
      <top style="hair">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64"/>
      </top>
      <bottom/>
      <diagonal/>
    </border>
    <border>
      <left/>
      <right/>
      <top style="hair">
        <color auto="1"/>
      </top>
      <bottom style="hair">
        <color indexed="64"/>
      </bottom>
      <diagonal/>
    </border>
    <border>
      <left/>
      <right/>
      <top style="thin">
        <color auto="1"/>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right/>
      <top/>
      <bottom style="thin">
        <color indexed="64"/>
      </bottom>
      <diagonal/>
    </border>
    <border>
      <left/>
      <right/>
      <top/>
      <bottom style="thin">
        <color auto="1"/>
      </bottom>
      <diagonal/>
    </border>
  </borders>
  <cellStyleXfs count="94">
    <xf numFmtId="0" fontId="0" fillId="0" borderId="0"/>
    <xf numFmtId="0" fontId="35" fillId="0" borderId="0"/>
    <xf numFmtId="0" fontId="35" fillId="0" borderId="0"/>
    <xf numFmtId="0" fontId="37" fillId="0" borderId="0"/>
    <xf numFmtId="0" fontId="38" fillId="0" borderId="0"/>
    <xf numFmtId="0" fontId="59" fillId="0" borderId="0" applyNumberFormat="0" applyFill="0" applyBorder="0" applyAlignment="0" applyProtection="0"/>
    <xf numFmtId="0" fontId="60" fillId="0" borderId="17" applyNumberFormat="0" applyFill="0" applyAlignment="0" applyProtection="0"/>
    <xf numFmtId="0" fontId="61" fillId="0" borderId="18" applyNumberFormat="0" applyFill="0" applyAlignment="0" applyProtection="0"/>
    <xf numFmtId="0" fontId="62" fillId="0" borderId="19" applyNumberFormat="0" applyFill="0" applyAlignment="0" applyProtection="0"/>
    <xf numFmtId="0" fontId="62" fillId="0" borderId="0" applyNumberFormat="0" applyFill="0" applyBorder="0" applyAlignment="0" applyProtection="0"/>
    <xf numFmtId="0" fontId="63" fillId="5" borderId="0" applyNumberFormat="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20" applyNumberFormat="0" applyAlignment="0" applyProtection="0"/>
    <xf numFmtId="0" fontId="67" fillId="9" borderId="21" applyNumberFormat="0" applyAlignment="0" applyProtection="0"/>
    <xf numFmtId="0" fontId="68" fillId="9" borderId="20" applyNumberFormat="0" applyAlignment="0" applyProtection="0"/>
    <xf numFmtId="0" fontId="69" fillId="0" borderId="22" applyNumberFormat="0" applyFill="0" applyAlignment="0" applyProtection="0"/>
    <xf numFmtId="0" fontId="70" fillId="10" borderId="23" applyNumberFormat="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3" fillId="0" borderId="25" applyNumberFormat="0" applyFill="0" applyAlignment="0" applyProtection="0"/>
    <xf numFmtId="0" fontId="74"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74" fillId="15" borderId="0" applyNumberFormat="0" applyBorder="0" applyAlignment="0" applyProtection="0"/>
    <xf numFmtId="0" fontId="74"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74" fillId="19" borderId="0" applyNumberFormat="0" applyBorder="0" applyAlignment="0" applyProtection="0"/>
    <xf numFmtId="0" fontId="74"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74" fillId="23" borderId="0" applyNumberFormat="0" applyBorder="0" applyAlignment="0" applyProtection="0"/>
    <xf numFmtId="0" fontId="74"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74" fillId="27" borderId="0" applyNumberFormat="0" applyBorder="0" applyAlignment="0" applyProtection="0"/>
    <xf numFmtId="0" fontId="74"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74" fillId="31" borderId="0" applyNumberFormat="0" applyBorder="0" applyAlignment="0" applyProtection="0"/>
    <xf numFmtId="0" fontId="74"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74" fillId="35" borderId="0" applyNumberFormat="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5" fillId="11" borderId="24" applyNumberFormat="0" applyFont="0" applyAlignment="0" applyProtection="0"/>
    <xf numFmtId="9" fontId="6" fillId="0" borderId="0" applyFont="0" applyFill="0" applyBorder="0" applyAlignment="0" applyProtection="0"/>
    <xf numFmtId="0" fontId="13" fillId="0" borderId="0" applyNumberForma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9" fontId="48" fillId="0" borderId="0" applyNumberFormat="0" applyFont="0" applyFill="0" applyBorder="0" applyAlignment="0" applyProtection="0">
      <alignment horizontal="left"/>
    </xf>
    <xf numFmtId="1" fontId="11" fillId="0" borderId="15" applyNumberFormat="0" applyFont="0" applyFill="0" applyBorder="0" applyAlignment="0" applyProtection="0">
      <alignment horizontal="right"/>
    </xf>
    <xf numFmtId="1" fontId="11" fillId="0" borderId="15" applyNumberFormat="0" applyFont="0" applyFill="0" applyBorder="0" applyAlignment="0" applyProtection="0">
      <alignment horizontal="right"/>
    </xf>
    <xf numFmtId="0" fontId="11" fillId="0" borderId="15" applyNumberFormat="0" applyFont="0" applyFill="0" applyBorder="0" applyAlignment="0" applyProtection="0">
      <alignment horizontal="right"/>
    </xf>
    <xf numFmtId="0" fontId="11" fillId="0" borderId="15" applyNumberFormat="0" applyFont="0" applyFill="0" applyBorder="0" applyAlignment="0" applyProtection="0">
      <alignment horizontal="right"/>
    </xf>
    <xf numFmtId="1" fontId="11" fillId="0" borderId="15" applyNumberFormat="0" applyFont="0" applyFill="0" applyBorder="0" applyAlignment="0" applyProtection="0">
      <alignment horizontal="right"/>
    </xf>
    <xf numFmtId="49" fontId="11" fillId="0" borderId="15" applyNumberFormat="0" applyFont="0" applyFill="0" applyBorder="0" applyAlignment="0" applyProtection="0">
      <alignment horizontal="right" wrapText="1"/>
    </xf>
    <xf numFmtId="0" fontId="10" fillId="0" borderId="0" applyNumberFormat="0" applyFont="0" applyFill="0" applyBorder="0" applyAlignment="0" applyProtection="0">
      <alignment horizontal="right"/>
    </xf>
    <xf numFmtId="49" fontId="33" fillId="0" borderId="0" applyNumberFormat="0" applyFill="0" applyBorder="0" applyAlignment="0" applyProtection="0">
      <alignment horizontal="left"/>
    </xf>
    <xf numFmtId="0" fontId="10" fillId="0" borderId="0" applyNumberFormat="0" applyFont="0" applyFill="0" applyBorder="0" applyAlignment="0" applyProtection="0">
      <alignment horizontal="left"/>
    </xf>
    <xf numFmtId="0" fontId="10" fillId="0" borderId="0" applyNumberFormat="0" applyFont="0" applyFill="0" applyBorder="0" applyAlignment="0" applyProtection="0">
      <alignment horizontal="right"/>
    </xf>
    <xf numFmtId="49" fontId="54" fillId="0" borderId="34" applyNumberFormat="0" applyFont="0" applyFill="0" applyAlignment="0" applyProtection="0">
      <alignment horizontal="right" wrapText="1"/>
    </xf>
    <xf numFmtId="0" fontId="10" fillId="0" borderId="0" applyNumberFormat="0" applyFont="0" applyFill="0" applyBorder="0" applyAlignment="0" applyProtection="0"/>
    <xf numFmtId="1" fontId="11" fillId="37" borderId="0" applyNumberFormat="0" applyFont="0" applyFill="0" applyBorder="0" applyAlignment="0" applyProtection="0">
      <alignment horizontal="right"/>
    </xf>
    <xf numFmtId="0" fontId="10" fillId="36" borderId="1" applyNumberFormat="0" applyFont="0" applyFill="0" applyAlignment="0" applyProtection="0">
      <alignment horizontal="left"/>
    </xf>
    <xf numFmtId="0" fontId="10" fillId="36" borderId="30" applyNumberFormat="0" applyFont="0" applyFill="0" applyAlignment="0" applyProtection="0">
      <alignment horizontal="left"/>
    </xf>
    <xf numFmtId="0" fontId="6" fillId="36" borderId="0" applyNumberFormat="0" applyFont="0" applyFill="0" applyBorder="0" applyAlignment="0" applyProtection="0"/>
    <xf numFmtId="0" fontId="6" fillId="36" borderId="0" applyNumberFormat="0" applyFont="0" applyFill="0" applyBorder="0" applyAlignment="0" applyProtection="0"/>
    <xf numFmtId="49" fontId="11" fillId="36" borderId="34" applyNumberFormat="0" applyFont="0" applyFill="0" applyAlignment="0" applyProtection="0">
      <alignment horizontal="left"/>
    </xf>
    <xf numFmtId="0" fontId="4" fillId="0" borderId="0"/>
    <xf numFmtId="173" fontId="4" fillId="0" borderId="0"/>
    <xf numFmtId="0" fontId="6" fillId="36" borderId="0" applyNumberFormat="0" applyFont="0" applyFill="0" applyBorder="0" applyAlignment="0" applyProtection="0"/>
    <xf numFmtId="0" fontId="10" fillId="0" borderId="0" applyNumberFormat="0" applyFont="0" applyFill="0" applyBorder="0" applyAlignment="0" applyProtection="0">
      <alignment wrapText="1"/>
    </xf>
    <xf numFmtId="0" fontId="3" fillId="0" borderId="0" applyNumberFormat="0" applyFont="0" applyFill="0" applyBorder="0" applyAlignment="0" applyProtection="0"/>
    <xf numFmtId="0" fontId="10" fillId="36" borderId="34" applyNumberFormat="0" applyFont="0" applyFill="0" applyAlignment="0" applyProtection="0">
      <alignment horizontal="left"/>
    </xf>
    <xf numFmtId="49" fontId="11" fillId="36" borderId="32" applyNumberFormat="0" applyFont="0" applyFill="0" applyBorder="0" applyAlignment="0" applyProtection="0">
      <alignment horizontal="left" wrapText="1"/>
    </xf>
    <xf numFmtId="0" fontId="2" fillId="0" borderId="0"/>
    <xf numFmtId="0" fontId="2" fillId="0" borderId="0" applyNumberFormat="0" applyFont="0" applyFill="0" applyBorder="0" applyAlignment="0" applyProtection="0"/>
    <xf numFmtId="0" fontId="37" fillId="36" borderId="0" applyNumberFormat="0" applyFont="0" applyFill="0" applyBorder="0" applyAlignment="0" applyProtection="0"/>
    <xf numFmtId="0" fontId="2" fillId="0" borderId="0" applyNumberFormat="0" applyFont="0" applyFill="0" applyBorder="0" applyAlignment="0" applyProtection="0"/>
    <xf numFmtId="0" fontId="1" fillId="0" borderId="0"/>
    <xf numFmtId="49" fontId="11" fillId="36" borderId="0" applyNumberFormat="0" applyFont="0" applyFill="0" applyBorder="0" applyAlignment="0" applyProtection="0">
      <alignment horizontal="left"/>
    </xf>
  </cellStyleXfs>
  <cellXfs count="1438">
    <xf numFmtId="0" fontId="0" fillId="0" borderId="0" xfId="0"/>
    <xf numFmtId="2" fontId="7" fillId="0" borderId="0" xfId="0" applyNumberFormat="1" applyFont="1"/>
    <xf numFmtId="2" fontId="8" fillId="0" borderId="0" xfId="0" applyNumberFormat="1" applyFont="1"/>
    <xf numFmtId="166" fontId="0" fillId="0" borderId="0" xfId="0" applyNumberFormat="1"/>
    <xf numFmtId="0" fontId="10" fillId="0" borderId="0" xfId="0" applyFont="1"/>
    <xf numFmtId="165" fontId="10" fillId="0" borderId="0" xfId="0" applyNumberFormat="1" applyFont="1"/>
    <xf numFmtId="2" fontId="10" fillId="0" borderId="0" xfId="0" applyNumberFormat="1" applyFont="1"/>
    <xf numFmtId="2" fontId="8" fillId="0" borderId="1" xfId="0" applyNumberFormat="1" applyFont="1" applyBorder="1"/>
    <xf numFmtId="165" fontId="10" fillId="0" borderId="0" xfId="0" applyNumberFormat="1" applyFont="1" applyFill="1"/>
    <xf numFmtId="2" fontId="10" fillId="0" borderId="1" xfId="0" applyNumberFormat="1" applyFont="1" applyBorder="1"/>
    <xf numFmtId="2" fontId="11" fillId="0" borderId="0" xfId="0" applyNumberFormat="1" applyFont="1"/>
    <xf numFmtId="165" fontId="10" fillId="0" borderId="0" xfId="0" applyNumberFormat="1" applyFont="1" applyFill="1" applyBorder="1"/>
    <xf numFmtId="165" fontId="10" fillId="0" borderId="0" xfId="0" applyNumberFormat="1" applyFont="1" applyAlignment="1">
      <alignment horizontal="right"/>
    </xf>
    <xf numFmtId="165" fontId="11" fillId="0" borderId="0" xfId="0" quotePrefix="1" applyNumberFormat="1" applyFont="1" applyAlignment="1">
      <alignment horizontal="right"/>
    </xf>
    <xf numFmtId="165" fontId="11" fillId="0" borderId="0" xfId="0" applyNumberFormat="1" applyFont="1" applyAlignment="1">
      <alignment horizontal="right"/>
    </xf>
    <xf numFmtId="165" fontId="11" fillId="0" borderId="0" xfId="0" applyNumberFormat="1" applyFont="1" applyFill="1" applyBorder="1" applyAlignment="1">
      <alignment horizontal="right"/>
    </xf>
    <xf numFmtId="166" fontId="10" fillId="0" borderId="0" xfId="0" applyNumberFormat="1" applyFont="1"/>
    <xf numFmtId="0" fontId="10" fillId="0" borderId="0" xfId="0" applyFont="1" applyAlignment="1">
      <alignment horizontal="left"/>
    </xf>
    <xf numFmtId="2" fontId="10" fillId="0" borderId="0" xfId="0" applyNumberFormat="1" applyFont="1" applyFill="1"/>
    <xf numFmtId="165" fontId="10" fillId="0" borderId="0" xfId="0" quotePrefix="1" applyNumberFormat="1" applyFont="1" applyAlignment="1">
      <alignment horizontal="right"/>
    </xf>
    <xf numFmtId="165" fontId="10" fillId="0" borderId="0" xfId="0" applyNumberFormat="1" applyFont="1" applyFill="1" applyBorder="1" applyAlignment="1">
      <alignment horizontal="right"/>
    </xf>
    <xf numFmtId="0" fontId="11" fillId="0" borderId="0" xfId="0" applyFont="1"/>
    <xf numFmtId="165" fontId="0" fillId="0" borderId="0" xfId="0" applyNumberFormat="1"/>
    <xf numFmtId="2" fontId="11" fillId="0" borderId="0" xfId="0" applyNumberFormat="1" applyFont="1" applyFill="1"/>
    <xf numFmtId="165" fontId="9" fillId="0" borderId="0" xfId="0" applyNumberFormat="1" applyFont="1" applyFill="1"/>
    <xf numFmtId="0" fontId="10" fillId="0" borderId="0" xfId="0" applyFont="1" applyFill="1"/>
    <xf numFmtId="0" fontId="11" fillId="0" borderId="0" xfId="0" applyFont="1" applyFill="1"/>
    <xf numFmtId="0" fontId="10" fillId="0" borderId="2" xfId="0" applyFont="1" applyBorder="1"/>
    <xf numFmtId="0" fontId="10" fillId="0" borderId="0" xfId="0" applyFont="1" applyBorder="1"/>
    <xf numFmtId="0" fontId="10" fillId="0" borderId="0" xfId="0" applyFont="1" applyFill="1" applyBorder="1"/>
    <xf numFmtId="0" fontId="10" fillId="0" borderId="3" xfId="0" applyFont="1" applyBorder="1"/>
    <xf numFmtId="0" fontId="10" fillId="0" borderId="3" xfId="0" applyFont="1" applyFill="1" applyBorder="1"/>
    <xf numFmtId="0" fontId="10" fillId="0" borderId="4" xfId="0" applyFont="1" applyBorder="1"/>
    <xf numFmtId="0" fontId="10" fillId="0" borderId="4" xfId="0" applyFont="1" applyFill="1" applyBorder="1"/>
    <xf numFmtId="0" fontId="10" fillId="0" borderId="2" xfId="0" applyFont="1" applyFill="1" applyBorder="1"/>
    <xf numFmtId="168" fontId="0" fillId="0" borderId="0" xfId="0" applyNumberFormat="1"/>
    <xf numFmtId="164" fontId="0" fillId="0" borderId="0" xfId="0" applyNumberFormat="1"/>
    <xf numFmtId="164" fontId="10" fillId="0" borderId="0" xfId="0" applyNumberFormat="1" applyFont="1"/>
    <xf numFmtId="0" fontId="14" fillId="0" borderId="0" xfId="0" applyFont="1"/>
    <xf numFmtId="2" fontId="10" fillId="0" borderId="0" xfId="0" applyNumberFormat="1" applyFont="1" applyBorder="1"/>
    <xf numFmtId="165" fontId="10" fillId="0" borderId="0" xfId="0" applyNumberFormat="1" applyFont="1" applyBorder="1"/>
    <xf numFmtId="2" fontId="8" fillId="0" borderId="0" xfId="0" applyNumberFormat="1" applyFont="1" applyBorder="1"/>
    <xf numFmtId="164" fontId="0" fillId="0" borderId="2" xfId="0" applyNumberFormat="1" applyBorder="1"/>
    <xf numFmtId="164" fontId="0" fillId="0" borderId="5" xfId="0" applyNumberFormat="1" applyBorder="1"/>
    <xf numFmtId="0" fontId="15" fillId="0" borderId="0" xfId="0" applyFont="1" applyAlignment="1">
      <alignment horizontal="right"/>
    </xf>
    <xf numFmtId="165" fontId="0" fillId="0" borderId="2" xfId="0" applyNumberFormat="1" applyBorder="1"/>
    <xf numFmtId="0" fontId="14" fillId="0" borderId="0" xfId="0" applyFont="1" applyAlignment="1">
      <alignment horizontal="right"/>
    </xf>
    <xf numFmtId="0" fontId="6" fillId="0" borderId="0" xfId="0" applyFont="1"/>
    <xf numFmtId="0" fontId="10" fillId="0" borderId="1" xfId="0" applyFont="1" applyBorder="1"/>
    <xf numFmtId="0" fontId="9" fillId="0" borderId="0" xfId="0" applyFont="1" applyFill="1"/>
    <xf numFmtId="0" fontId="0" fillId="0" borderId="0" xfId="0" applyBorder="1"/>
    <xf numFmtId="0" fontId="0" fillId="0" borderId="0" xfId="0" applyFill="1"/>
    <xf numFmtId="0" fontId="6" fillId="0" borderId="0" xfId="0" applyFont="1" applyFill="1"/>
    <xf numFmtId="2" fontId="6" fillId="0" borderId="0" xfId="0" applyNumberFormat="1" applyFont="1"/>
    <xf numFmtId="0" fontId="0" fillId="0" borderId="1" xfId="0" applyBorder="1"/>
    <xf numFmtId="165" fontId="10" fillId="0" borderId="2" xfId="0" applyNumberFormat="1" applyFont="1" applyBorder="1"/>
    <xf numFmtId="164" fontId="10" fillId="0" borderId="2" xfId="0" applyNumberFormat="1" applyFont="1" applyBorder="1"/>
    <xf numFmtId="0" fontId="10" fillId="0" borderId="0" xfId="0" quotePrefix="1" applyFont="1" applyFill="1"/>
    <xf numFmtId="0" fontId="10" fillId="0" borderId="0" xfId="0" quotePrefix="1" applyFont="1" applyFill="1" applyBorder="1"/>
    <xf numFmtId="165" fontId="10" fillId="0" borderId="0" xfId="0" applyNumberFormat="1" applyFont="1" applyFill="1" applyAlignment="1">
      <alignment horizontal="right"/>
    </xf>
    <xf numFmtId="165" fontId="10" fillId="0" borderId="5" xfId="0" applyNumberFormat="1" applyFont="1" applyBorder="1"/>
    <xf numFmtId="167" fontId="10" fillId="0" borderId="0" xfId="0" applyNumberFormat="1" applyFont="1" applyFill="1" applyBorder="1"/>
    <xf numFmtId="0" fontId="17" fillId="0" borderId="0" xfId="0" applyFont="1"/>
    <xf numFmtId="0" fontId="18" fillId="0" borderId="0" xfId="0" applyFont="1"/>
    <xf numFmtId="164" fontId="18" fillId="0" borderId="0" xfId="0" applyNumberFormat="1" applyFont="1"/>
    <xf numFmtId="2" fontId="0" fillId="0" borderId="0" xfId="0" applyNumberFormat="1"/>
    <xf numFmtId="14" fontId="19" fillId="0" borderId="0" xfId="0" applyNumberFormat="1" applyFont="1"/>
    <xf numFmtId="165" fontId="20" fillId="0" borderId="0" xfId="0" quotePrefix="1" applyNumberFormat="1" applyFont="1" applyAlignment="1">
      <alignment horizontal="right"/>
    </xf>
    <xf numFmtId="165" fontId="21" fillId="0" borderId="0" xfId="0" applyNumberFormat="1" applyFont="1" applyFill="1" applyBorder="1"/>
    <xf numFmtId="165" fontId="21" fillId="0" borderId="0" xfId="0" applyNumberFormat="1" applyFont="1" applyFill="1"/>
    <xf numFmtId="165" fontId="21" fillId="0" borderId="0" xfId="0" applyNumberFormat="1" applyFont="1"/>
    <xf numFmtId="0" fontId="22" fillId="0" borderId="0" xfId="0" applyFont="1"/>
    <xf numFmtId="165" fontId="11" fillId="0" borderId="0" xfId="0" applyNumberFormat="1" applyFont="1" applyFill="1"/>
    <xf numFmtId="164" fontId="0" fillId="0" borderId="0" xfId="0" applyNumberFormat="1" applyFill="1"/>
    <xf numFmtId="165" fontId="0" fillId="0" borderId="0" xfId="0" applyNumberFormat="1" applyFill="1"/>
    <xf numFmtId="166" fontId="23" fillId="0" borderId="0" xfId="0" applyNumberFormat="1" applyFont="1"/>
    <xf numFmtId="1" fontId="22" fillId="0" borderId="0" xfId="0" applyNumberFormat="1" applyFont="1"/>
    <xf numFmtId="164" fontId="0" fillId="0" borderId="2" xfId="0" applyNumberFormat="1" applyFill="1" applyBorder="1"/>
    <xf numFmtId="166" fontId="24" fillId="0" borderId="0" xfId="0" applyNumberFormat="1" applyFont="1"/>
    <xf numFmtId="0" fontId="10" fillId="0" borderId="0" xfId="0" applyFont="1" applyFill="1" applyAlignment="1">
      <alignment horizontal="right"/>
    </xf>
    <xf numFmtId="164" fontId="0" fillId="0" borderId="0" xfId="0" applyNumberFormat="1" applyBorder="1"/>
    <xf numFmtId="164" fontId="10" fillId="0" borderId="0" xfId="0" applyNumberFormat="1" applyFont="1" applyFill="1"/>
    <xf numFmtId="0" fontId="14" fillId="2" borderId="0" xfId="0" applyFont="1" applyFill="1"/>
    <xf numFmtId="0" fontId="14" fillId="0" borderId="0" xfId="0" applyFont="1" applyFill="1"/>
    <xf numFmtId="164" fontId="10" fillId="0" borderId="0" xfId="0" applyNumberFormat="1" applyFont="1" applyBorder="1"/>
    <xf numFmtId="2" fontId="10" fillId="0" borderId="2" xfId="0" applyNumberFormat="1" applyFont="1" applyBorder="1"/>
    <xf numFmtId="2" fontId="11" fillId="0" borderId="5" xfId="0" applyNumberFormat="1" applyFont="1" applyBorder="1"/>
    <xf numFmtId="2" fontId="10" fillId="0" borderId="5" xfId="0" applyNumberFormat="1" applyFont="1" applyBorder="1"/>
    <xf numFmtId="0" fontId="0" fillId="0" borderId="2" xfId="0" applyBorder="1"/>
    <xf numFmtId="2" fontId="10" fillId="0" borderId="2" xfId="0" applyNumberFormat="1" applyFont="1" applyFill="1" applyBorder="1"/>
    <xf numFmtId="2" fontId="0" fillId="0" borderId="2" xfId="0" applyNumberFormat="1" applyBorder="1"/>
    <xf numFmtId="2" fontId="11" fillId="0" borderId="2" xfId="0" applyNumberFormat="1" applyFont="1" applyBorder="1"/>
    <xf numFmtId="2" fontId="11" fillId="0" borderId="5" xfId="0" applyNumberFormat="1" applyFont="1" applyFill="1" applyBorder="1"/>
    <xf numFmtId="165" fontId="0" fillId="0" borderId="5" xfId="0" applyNumberFormat="1" applyBorder="1"/>
    <xf numFmtId="164" fontId="10" fillId="0" borderId="2" xfId="0" applyNumberFormat="1" applyFont="1" applyFill="1" applyBorder="1"/>
    <xf numFmtId="2" fontId="10" fillId="0" borderId="5" xfId="0" applyNumberFormat="1" applyFont="1" applyFill="1" applyBorder="1"/>
    <xf numFmtId="164" fontId="0" fillId="0" borderId="5" xfId="0" applyNumberFormat="1" applyFill="1" applyBorder="1"/>
    <xf numFmtId="2" fontId="11" fillId="0" borderId="2" xfId="0" applyNumberFormat="1" applyFont="1" applyFill="1" applyBorder="1"/>
    <xf numFmtId="164" fontId="14" fillId="0" borderId="2" xfId="0" applyNumberFormat="1" applyFont="1" applyFill="1" applyBorder="1"/>
    <xf numFmtId="164" fontId="14" fillId="0" borderId="2" xfId="0" applyNumberFormat="1" applyFont="1" applyBorder="1"/>
    <xf numFmtId="165" fontId="14" fillId="0" borderId="2" xfId="0" applyNumberFormat="1" applyFont="1" applyBorder="1"/>
    <xf numFmtId="0" fontId="0" fillId="0" borderId="5" xfId="0" applyBorder="1"/>
    <xf numFmtId="169" fontId="10" fillId="0" borderId="0" xfId="0" applyNumberFormat="1" applyFont="1" applyFill="1"/>
    <xf numFmtId="0" fontId="11" fillId="0" borderId="0" xfId="0" applyFont="1" applyFill="1" applyAlignment="1">
      <alignment horizontal="right"/>
    </xf>
    <xf numFmtId="165" fontId="11" fillId="0" borderId="2" xfId="0" applyNumberFormat="1" applyFont="1" applyFill="1" applyBorder="1" applyAlignment="1">
      <alignment horizontal="right"/>
    </xf>
    <xf numFmtId="2" fontId="11" fillId="0" borderId="0" xfId="0" applyNumberFormat="1" applyFont="1" applyBorder="1"/>
    <xf numFmtId="165" fontId="10" fillId="0" borderId="2" xfId="0" applyNumberFormat="1" applyFont="1" applyFill="1" applyBorder="1"/>
    <xf numFmtId="0" fontId="11" fillId="0" borderId="2" xfId="0" applyFont="1" applyBorder="1"/>
    <xf numFmtId="0" fontId="14" fillId="0" borderId="2" xfId="0" applyFont="1" applyBorder="1"/>
    <xf numFmtId="0" fontId="14" fillId="0" borderId="2" xfId="0" applyFont="1" applyBorder="1" applyAlignment="1">
      <alignment horizontal="right"/>
    </xf>
    <xf numFmtId="165" fontId="10" fillId="0" borderId="2" xfId="0" applyNumberFormat="1" applyFont="1" applyFill="1" applyBorder="1" applyAlignment="1">
      <alignment horizontal="right"/>
    </xf>
    <xf numFmtId="165" fontId="11" fillId="0" borderId="2" xfId="0" applyNumberFormat="1" applyFont="1" applyBorder="1" applyAlignment="1">
      <alignment horizontal="right"/>
    </xf>
    <xf numFmtId="1" fontId="11" fillId="0" borderId="2" xfId="0" applyNumberFormat="1" applyFont="1" applyBorder="1" applyAlignment="1">
      <alignment horizontal="right"/>
    </xf>
    <xf numFmtId="0" fontId="11" fillId="0" borderId="5" xfId="0" applyFont="1" applyBorder="1"/>
    <xf numFmtId="165" fontId="11" fillId="0" borderId="5" xfId="0" applyNumberFormat="1" applyFont="1" applyFill="1" applyBorder="1"/>
    <xf numFmtId="3" fontId="10" fillId="0" borderId="0" xfId="0" applyNumberFormat="1" applyFont="1"/>
    <xf numFmtId="3" fontId="10" fillId="0" borderId="0" xfId="0" applyNumberFormat="1" applyFont="1" applyFill="1"/>
    <xf numFmtId="3" fontId="10" fillId="0" borderId="2" xfId="0" applyNumberFormat="1" applyFont="1" applyBorder="1"/>
    <xf numFmtId="3" fontId="10" fillId="0" borderId="2" xfId="0" applyNumberFormat="1" applyFont="1" applyFill="1" applyBorder="1"/>
    <xf numFmtId="0" fontId="11" fillId="0" borderId="0" xfId="0" applyFont="1" applyBorder="1"/>
    <xf numFmtId="2" fontId="10" fillId="0" borderId="6" xfId="0" applyNumberFormat="1" applyFont="1" applyBorder="1"/>
    <xf numFmtId="0" fontId="11" fillId="0" borderId="2" xfId="0" applyFont="1" applyFill="1" applyBorder="1"/>
    <xf numFmtId="165" fontId="10" fillId="0" borderId="5" xfId="0" applyNumberFormat="1" applyFont="1" applyFill="1" applyBorder="1"/>
    <xf numFmtId="165" fontId="16" fillId="0" borderId="2" xfId="0" quotePrefix="1" applyNumberFormat="1" applyFont="1" applyFill="1" applyBorder="1" applyAlignment="1">
      <alignment horizontal="right"/>
    </xf>
    <xf numFmtId="1" fontId="16" fillId="0" borderId="2" xfId="0" quotePrefix="1" applyNumberFormat="1" applyFont="1" applyFill="1" applyBorder="1" applyAlignment="1">
      <alignment horizontal="right"/>
    </xf>
    <xf numFmtId="0" fontId="11" fillId="0" borderId="0" xfId="0" applyFont="1" applyFill="1" applyBorder="1"/>
    <xf numFmtId="0" fontId="11" fillId="0" borderId="5" xfId="0" applyFont="1" applyFill="1" applyBorder="1"/>
    <xf numFmtId="165" fontId="11" fillId="0" borderId="2" xfId="0" applyNumberFormat="1" applyFont="1" applyFill="1" applyBorder="1" applyAlignment="1">
      <alignment horizontal="left"/>
    </xf>
    <xf numFmtId="14" fontId="14" fillId="0" borderId="2" xfId="0" applyNumberFormat="1" applyFont="1" applyBorder="1" applyAlignment="1">
      <alignment horizontal="right"/>
    </xf>
    <xf numFmtId="164" fontId="22" fillId="0" borderId="0" xfId="0" applyNumberFormat="1" applyFont="1"/>
    <xf numFmtId="0" fontId="18" fillId="0" borderId="0" xfId="0" applyFont="1" applyFill="1"/>
    <xf numFmtId="0" fontId="11" fillId="0" borderId="2" xfId="0" applyFont="1" applyBorder="1" applyAlignment="1">
      <alignment horizontal="right"/>
    </xf>
    <xf numFmtId="165" fontId="11" fillId="0" borderId="2" xfId="0" quotePrefix="1" applyNumberFormat="1" applyFont="1" applyBorder="1" applyAlignment="1">
      <alignment horizontal="right"/>
    </xf>
    <xf numFmtId="2" fontId="10" fillId="0" borderId="6" xfId="0" applyNumberFormat="1" applyFont="1" applyFill="1" applyBorder="1"/>
    <xf numFmtId="164" fontId="0" fillId="0" borderId="6" xfId="0" applyNumberFormat="1" applyBorder="1"/>
    <xf numFmtId="0" fontId="0" fillId="0" borderId="6" xfId="0" applyBorder="1"/>
    <xf numFmtId="165" fontId="0" fillId="0" borderId="6" xfId="0" applyNumberFormat="1" applyBorder="1"/>
    <xf numFmtId="164" fontId="10" fillId="0" borderId="5" xfId="0" applyNumberFormat="1" applyFont="1" applyFill="1" applyBorder="1"/>
    <xf numFmtId="4" fontId="0" fillId="0" borderId="2" xfId="0" applyNumberFormat="1" applyBorder="1"/>
    <xf numFmtId="165" fontId="10" fillId="0" borderId="6" xfId="0" applyNumberFormat="1" applyFont="1" applyBorder="1"/>
    <xf numFmtId="0" fontId="25" fillId="0" borderId="0" xfId="0" applyFont="1"/>
    <xf numFmtId="0" fontId="6" fillId="0" borderId="0" xfId="0" applyFont="1" applyAlignment="1">
      <alignment horizontal="right"/>
    </xf>
    <xf numFmtId="0" fontId="25" fillId="0" borderId="0" xfId="0" applyFont="1" applyFill="1"/>
    <xf numFmtId="3" fontId="10" fillId="0" borderId="0" xfId="0" applyNumberFormat="1" applyFont="1" applyBorder="1"/>
    <xf numFmtId="3" fontId="10" fillId="0" borderId="0" xfId="0" applyNumberFormat="1" applyFont="1" applyFill="1" applyBorder="1"/>
    <xf numFmtId="0" fontId="11" fillId="0" borderId="6" xfId="0" applyFont="1" applyFill="1" applyBorder="1"/>
    <xf numFmtId="165" fontId="10" fillId="0" borderId="6" xfId="0" applyNumberFormat="1" applyFont="1" applyFill="1" applyBorder="1"/>
    <xf numFmtId="0" fontId="10" fillId="0" borderId="6" xfId="0" applyFont="1" applyFill="1" applyBorder="1"/>
    <xf numFmtId="4" fontId="0" fillId="0" borderId="0" xfId="0" applyNumberFormat="1"/>
    <xf numFmtId="3" fontId="0" fillId="0" borderId="0" xfId="0" applyNumberFormat="1"/>
    <xf numFmtId="0" fontId="26" fillId="0" borderId="0" xfId="0" applyFont="1"/>
    <xf numFmtId="168" fontId="24" fillId="0" borderId="0" xfId="0" applyNumberFormat="1" applyFont="1"/>
    <xf numFmtId="0" fontId="24" fillId="0" borderId="0" xfId="0" applyFont="1"/>
    <xf numFmtId="164" fontId="27" fillId="0" borderId="0" xfId="0" applyNumberFormat="1" applyFont="1"/>
    <xf numFmtId="164" fontId="6" fillId="0" borderId="0" xfId="0" applyNumberFormat="1" applyFont="1"/>
    <xf numFmtId="164" fontId="15" fillId="0" borderId="0" xfId="0" applyNumberFormat="1" applyFont="1"/>
    <xf numFmtId="165" fontId="15" fillId="0" borderId="0" xfId="0" applyNumberFormat="1" applyFont="1"/>
    <xf numFmtId="165" fontId="28" fillId="0" borderId="0" xfId="0" applyNumberFormat="1" applyFont="1" applyFill="1"/>
    <xf numFmtId="165" fontId="9" fillId="0" borderId="2" xfId="0" applyNumberFormat="1" applyFont="1" applyFill="1" applyBorder="1"/>
    <xf numFmtId="164" fontId="9" fillId="0" borderId="0" xfId="0" applyNumberFormat="1" applyFont="1" applyFill="1"/>
    <xf numFmtId="164" fontId="28" fillId="0" borderId="0" xfId="0" applyNumberFormat="1" applyFont="1" applyFill="1"/>
    <xf numFmtId="0" fontId="28" fillId="0" borderId="2" xfId="0" applyFont="1" applyBorder="1"/>
    <xf numFmtId="164" fontId="6" fillId="0" borderId="2" xfId="0" applyNumberFormat="1" applyFont="1" applyFill="1" applyBorder="1"/>
    <xf numFmtId="164" fontId="10" fillId="0" borderId="0" xfId="0" applyNumberFormat="1" applyFont="1" applyFill="1" applyBorder="1"/>
    <xf numFmtId="0" fontId="0" fillId="3" borderId="0" xfId="0" applyFill="1"/>
    <xf numFmtId="0" fontId="6" fillId="0" borderId="0" xfId="0" applyFont="1" applyAlignment="1">
      <alignment horizontal="left"/>
    </xf>
    <xf numFmtId="0" fontId="0" fillId="3" borderId="0" xfId="0" applyFill="1" applyAlignment="1">
      <alignment horizontal="left"/>
    </xf>
    <xf numFmtId="14" fontId="0" fillId="3" borderId="0" xfId="0" applyNumberFormat="1" applyFill="1" applyAlignment="1">
      <alignment horizontal="left"/>
    </xf>
    <xf numFmtId="0" fontId="23" fillId="0" borderId="0" xfId="0" applyFont="1"/>
    <xf numFmtId="0" fontId="29" fillId="0" borderId="0" xfId="0" applyFont="1" applyAlignment="1">
      <alignment horizontal="right"/>
    </xf>
    <xf numFmtId="166" fontId="29" fillId="0" borderId="0" xfId="0" applyNumberFormat="1" applyFont="1"/>
    <xf numFmtId="0" fontId="0" fillId="0" borderId="0" xfId="0" applyAlignment="1">
      <alignment horizontal="left"/>
    </xf>
    <xf numFmtId="166" fontId="29" fillId="0" borderId="0" xfId="0" applyNumberFormat="1" applyFont="1" applyAlignment="1">
      <alignment horizontal="left"/>
    </xf>
    <xf numFmtId="0" fontId="30" fillId="0" borderId="0" xfId="0" applyFont="1"/>
    <xf numFmtId="0" fontId="30" fillId="0" borderId="0" xfId="0" applyFont="1" applyAlignment="1">
      <alignment horizontal="left"/>
    </xf>
    <xf numFmtId="0" fontId="10" fillId="0" borderId="7" xfId="0" applyFont="1" applyBorder="1"/>
    <xf numFmtId="0" fontId="10" fillId="0" borderId="5" xfId="0" applyFont="1" applyBorder="1"/>
    <xf numFmtId="0" fontId="10" fillId="0" borderId="8" xfId="0" applyFont="1" applyBorder="1"/>
    <xf numFmtId="0" fontId="10" fillId="0" borderId="9" xfId="0" applyFont="1" applyBorder="1"/>
    <xf numFmtId="0" fontId="10" fillId="0" borderId="7" xfId="0" applyFont="1" applyBorder="1" applyAlignment="1">
      <alignment horizontal="left"/>
    </xf>
    <xf numFmtId="0" fontId="10" fillId="0" borderId="10" xfId="0" applyFont="1" applyBorder="1" applyAlignment="1">
      <alignment horizontal="left"/>
    </xf>
    <xf numFmtId="0" fontId="10" fillId="0" borderId="11" xfId="0" applyFont="1" applyBorder="1"/>
    <xf numFmtId="0" fontId="10" fillId="0" borderId="12" xfId="0" applyFont="1" applyBorder="1" applyAlignment="1">
      <alignment horizontal="left"/>
    </xf>
    <xf numFmtId="0" fontId="10" fillId="0" borderId="8" xfId="0" applyFont="1" applyBorder="1" applyAlignment="1">
      <alignment horizontal="left"/>
    </xf>
    <xf numFmtId="0" fontId="10" fillId="0" borderId="13" xfId="0" applyFont="1" applyBorder="1"/>
    <xf numFmtId="0" fontId="0" fillId="0" borderId="14" xfId="0" applyBorder="1" applyAlignment="1">
      <alignment horizontal="left"/>
    </xf>
    <xf numFmtId="164" fontId="0" fillId="0" borderId="0" xfId="0" applyNumberFormat="1" applyFill="1" applyBorder="1"/>
    <xf numFmtId="0" fontId="31" fillId="0" borderId="0" xfId="0" applyFont="1" applyBorder="1"/>
    <xf numFmtId="0" fontId="31" fillId="0" borderId="0" xfId="0" applyFont="1" applyBorder="1" applyAlignment="1">
      <alignment horizontal="left"/>
    </xf>
    <xf numFmtId="164" fontId="6" fillId="4" borderId="2" xfId="0" applyNumberFormat="1" applyFont="1" applyFill="1" applyBorder="1"/>
    <xf numFmtId="0" fontId="0" fillId="4" borderId="0" xfId="0" applyFill="1"/>
    <xf numFmtId="0" fontId="14" fillId="4" borderId="0" xfId="0" applyFont="1" applyFill="1"/>
    <xf numFmtId="165" fontId="32" fillId="0" borderId="0" xfId="0" applyNumberFormat="1" applyFont="1" applyBorder="1" applyAlignment="1">
      <alignment horizontal="left"/>
    </xf>
    <xf numFmtId="164" fontId="0" fillId="4" borderId="0" xfId="0" applyNumberFormat="1" applyFill="1"/>
    <xf numFmtId="164" fontId="0" fillId="4" borderId="2" xfId="0" applyNumberFormat="1" applyFill="1" applyBorder="1"/>
    <xf numFmtId="164" fontId="10" fillId="0" borderId="5" xfId="0" applyNumberFormat="1" applyFont="1" applyBorder="1"/>
    <xf numFmtId="165" fontId="0" fillId="0" borderId="2" xfId="0" applyNumberFormat="1" applyFill="1" applyBorder="1"/>
    <xf numFmtId="168" fontId="15" fillId="0" borderId="0" xfId="0" applyNumberFormat="1" applyFont="1"/>
    <xf numFmtId="2" fontId="33" fillId="0" borderId="0" xfId="0" applyNumberFormat="1" applyFont="1"/>
    <xf numFmtId="165" fontId="6" fillId="0" borderId="0" xfId="0" applyNumberFormat="1" applyFont="1" applyFill="1"/>
    <xf numFmtId="165" fontId="12" fillId="0" borderId="0" xfId="0" applyNumberFormat="1" applyFont="1" applyFill="1"/>
    <xf numFmtId="165" fontId="6" fillId="4" borderId="0" xfId="0" applyNumberFormat="1" applyFont="1" applyFill="1"/>
    <xf numFmtId="165" fontId="12" fillId="4" borderId="0" xfId="0" applyNumberFormat="1" applyFont="1" applyFill="1"/>
    <xf numFmtId="165" fontId="10" fillId="4" borderId="2" xfId="0" applyNumberFormat="1" applyFont="1" applyFill="1" applyBorder="1"/>
    <xf numFmtId="165" fontId="10" fillId="4" borderId="0" xfId="0" applyNumberFormat="1" applyFont="1" applyFill="1"/>
    <xf numFmtId="0" fontId="0" fillId="36" borderId="0" xfId="0" applyFill="1"/>
    <xf numFmtId="0" fontId="10" fillId="36" borderId="0" xfId="2" applyNumberFormat="1" applyFont="1" applyFill="1" applyAlignment="1">
      <alignment horizontal="left" wrapText="1"/>
    </xf>
    <xf numFmtId="0" fontId="0" fillId="36" borderId="0" xfId="0" applyNumberFormat="1" applyFill="1"/>
    <xf numFmtId="1" fontId="11" fillId="36" borderId="2" xfId="73" quotePrefix="1" applyNumberFormat="1" applyFont="1" applyFill="1" applyBorder="1" applyAlignment="1">
      <alignment horizontal="right"/>
    </xf>
    <xf numFmtId="0" fontId="10" fillId="36" borderId="26" xfId="2" applyNumberFormat="1" applyFont="1" applyFill="1" applyBorder="1" applyAlignment="1">
      <alignment horizontal="left" wrapText="1"/>
    </xf>
    <xf numFmtId="0" fontId="36" fillId="36" borderId="0" xfId="2" applyNumberFormat="1" applyFont="1" applyFill="1" applyAlignment="1">
      <alignment horizontal="left"/>
    </xf>
    <xf numFmtId="49" fontId="36" fillId="36" borderId="0" xfId="2" applyNumberFormat="1" applyFont="1" applyFill="1" applyBorder="1" applyAlignment="1">
      <alignment horizontal="left"/>
    </xf>
    <xf numFmtId="3" fontId="36" fillId="36" borderId="0" xfId="2" applyNumberFormat="1" applyFont="1" applyFill="1" applyBorder="1" applyAlignment="1">
      <alignment horizontal="right"/>
    </xf>
    <xf numFmtId="1" fontId="36" fillId="36" borderId="0" xfId="2" applyNumberFormat="1" applyFont="1" applyFill="1" applyBorder="1" applyAlignment="1">
      <alignment horizontal="right"/>
    </xf>
    <xf numFmtId="49" fontId="36" fillId="36" borderId="0" xfId="2" applyNumberFormat="1" applyFont="1" applyFill="1" applyAlignment="1">
      <alignment horizontal="left"/>
    </xf>
    <xf numFmtId="3" fontId="36" fillId="36" borderId="0" xfId="2" applyNumberFormat="1" applyFont="1" applyFill="1" applyAlignment="1">
      <alignment horizontal="right"/>
    </xf>
    <xf numFmtId="1" fontId="36" fillId="36" borderId="0" xfId="2" applyNumberFormat="1" applyFont="1" applyFill="1" applyAlignment="1">
      <alignment horizontal="right"/>
    </xf>
    <xf numFmtId="0" fontId="36" fillId="36" borderId="0" xfId="2" applyFont="1" applyFill="1" applyAlignment="1">
      <alignment horizontal="right"/>
    </xf>
    <xf numFmtId="0" fontId="10" fillId="36" borderId="0" xfId="71" applyNumberFormat="1" applyFont="1" applyFill="1" applyAlignment="1">
      <alignment horizontal="left"/>
    </xf>
    <xf numFmtId="0" fontId="10" fillId="36" borderId="0" xfId="0" applyNumberFormat="1" applyFont="1" applyFill="1" applyAlignment="1">
      <alignment horizontal="left"/>
    </xf>
    <xf numFmtId="0" fontId="10" fillId="36" borderId="0" xfId="0" applyNumberFormat="1" applyFont="1" applyFill="1" applyAlignment="1">
      <alignment horizontal="right"/>
    </xf>
    <xf numFmtId="0" fontId="10" fillId="36" borderId="0" xfId="63" applyNumberFormat="1" applyFont="1" applyFill="1" applyBorder="1" applyAlignment="1">
      <alignment horizontal="right"/>
    </xf>
    <xf numFmtId="0" fontId="10" fillId="36" borderId="0" xfId="1" applyNumberFormat="1" applyFont="1" applyFill="1" applyAlignment="1">
      <alignment horizontal="left"/>
    </xf>
    <xf numFmtId="0" fontId="10" fillId="36" borderId="0" xfId="1" applyNumberFormat="1" applyFont="1" applyFill="1" applyAlignment="1">
      <alignment horizontal="right"/>
    </xf>
    <xf numFmtId="49" fontId="10" fillId="36" borderId="0" xfId="0" applyNumberFormat="1" applyFont="1" applyFill="1" applyAlignment="1">
      <alignment horizontal="left"/>
    </xf>
    <xf numFmtId="0" fontId="10" fillId="36" borderId="0" xfId="0" applyNumberFormat="1" applyFont="1" applyFill="1" applyBorder="1" applyAlignment="1">
      <alignment horizontal="left"/>
    </xf>
    <xf numFmtId="49" fontId="10" fillId="36" borderId="0" xfId="0" applyNumberFormat="1" applyFont="1" applyFill="1" applyBorder="1" applyAlignment="1">
      <alignment horizontal="left"/>
    </xf>
    <xf numFmtId="0" fontId="10" fillId="36" borderId="0" xfId="0" applyNumberFormat="1" applyFont="1" applyFill="1" applyAlignment="1">
      <alignment wrapText="1"/>
    </xf>
    <xf numFmtId="49" fontId="10" fillId="36" borderId="0" xfId="0" applyNumberFormat="1" applyFont="1" applyFill="1" applyAlignment="1">
      <alignment horizontal="right"/>
    </xf>
    <xf numFmtId="0" fontId="10" fillId="36" borderId="0" xfId="0" applyFont="1" applyFill="1" applyAlignment="1">
      <alignment horizontal="right"/>
    </xf>
    <xf numFmtId="1" fontId="11" fillId="36" borderId="2" xfId="73" applyNumberFormat="1" applyFont="1" applyFill="1" applyBorder="1" applyAlignment="1">
      <alignment horizontal="right"/>
    </xf>
    <xf numFmtId="0" fontId="36" fillId="36" borderId="0" xfId="71" applyNumberFormat="1" applyFont="1" applyFill="1" applyAlignment="1"/>
    <xf numFmtId="0" fontId="36" fillId="36" borderId="0" xfId="2" applyNumberFormat="1" applyFont="1" applyFill="1" applyAlignment="1">
      <alignment horizontal="left" wrapText="1"/>
    </xf>
    <xf numFmtId="0" fontId="11" fillId="36" borderId="0" xfId="66" applyNumberFormat="1" applyFont="1" applyFill="1" applyBorder="1" applyAlignment="1">
      <alignment horizontal="right"/>
    </xf>
    <xf numFmtId="0" fontId="10" fillId="36" borderId="0" xfId="64" applyNumberFormat="1" applyFont="1" applyFill="1" applyBorder="1" applyAlignment="1">
      <alignment horizontal="right"/>
    </xf>
    <xf numFmtId="0" fontId="0" fillId="36" borderId="0" xfId="0" applyFill="1" applyBorder="1"/>
    <xf numFmtId="0" fontId="36" fillId="36" borderId="0" xfId="2" applyFont="1" applyFill="1"/>
    <xf numFmtId="0" fontId="36" fillId="36" borderId="0" xfId="2" applyFont="1" applyFill="1" applyBorder="1" applyAlignment="1">
      <alignment horizontal="left"/>
    </xf>
    <xf numFmtId="0" fontId="36" fillId="36" borderId="0" xfId="2" applyFont="1" applyFill="1" applyAlignment="1">
      <alignment horizontal="left"/>
    </xf>
    <xf numFmtId="0" fontId="10" fillId="36" borderId="0" xfId="0" applyFont="1" applyFill="1"/>
    <xf numFmtId="0" fontId="10" fillId="36" borderId="0" xfId="66" applyNumberFormat="1" applyFont="1" applyFill="1" applyBorder="1" applyAlignment="1">
      <alignment horizontal="right"/>
    </xf>
    <xf numFmtId="49" fontId="11" fillId="36" borderId="0" xfId="0" applyNumberFormat="1" applyFont="1" applyFill="1" applyBorder="1" applyAlignment="1">
      <alignment horizontal="left"/>
    </xf>
    <xf numFmtId="0" fontId="10" fillId="36" borderId="0" xfId="0" applyFont="1" applyFill="1" applyBorder="1"/>
    <xf numFmtId="49" fontId="11" fillId="36" borderId="0" xfId="62" applyNumberFormat="1" applyFont="1" applyFill="1" applyBorder="1" applyAlignment="1">
      <alignment horizontal="left"/>
    </xf>
    <xf numFmtId="0" fontId="10" fillId="36" borderId="0" xfId="62" applyNumberFormat="1" applyFont="1" applyFill="1" applyAlignment="1"/>
    <xf numFmtId="49" fontId="10" fillId="36" borderId="29" xfId="0" applyNumberFormat="1" applyFont="1" applyFill="1" applyBorder="1" applyAlignment="1">
      <alignment horizontal="left"/>
    </xf>
    <xf numFmtId="0" fontId="47" fillId="36" borderId="0" xfId="71" applyNumberFormat="1" applyFont="1" applyFill="1" applyBorder="1" applyAlignment="1">
      <alignment horizontal="left"/>
    </xf>
    <xf numFmtId="0" fontId="44" fillId="36" borderId="0" xfId="0" applyNumberFormat="1" applyFont="1" applyFill="1" applyBorder="1" applyAlignment="1">
      <alignment horizontal="left"/>
    </xf>
    <xf numFmtId="0" fontId="10" fillId="36" borderId="0" xfId="72" applyNumberFormat="1" applyFont="1" applyFill="1" applyAlignment="1">
      <alignment horizontal="right"/>
    </xf>
    <xf numFmtId="0" fontId="10" fillId="36" borderId="0" xfId="65" applyNumberFormat="1" applyFont="1" applyFill="1" applyBorder="1" applyAlignment="1">
      <alignment horizontal="right"/>
    </xf>
    <xf numFmtId="0" fontId="10" fillId="36" borderId="0" xfId="0" applyNumberFormat="1" applyFont="1" applyFill="1" applyBorder="1" applyAlignment="1">
      <alignment horizontal="right"/>
    </xf>
    <xf numFmtId="0" fontId="53" fillId="36" borderId="0" xfId="0" applyNumberFormat="1" applyFont="1" applyFill="1" applyBorder="1" applyAlignment="1">
      <alignment horizontal="right"/>
    </xf>
    <xf numFmtId="0" fontId="11" fillId="36" borderId="0" xfId="0" applyNumberFormat="1" applyFont="1" applyFill="1" applyAlignment="1">
      <alignment horizontal="left"/>
    </xf>
    <xf numFmtId="0" fontId="11" fillId="36" borderId="0" xfId="0" applyNumberFormat="1" applyFont="1" applyFill="1" applyAlignment="1">
      <alignment horizontal="right"/>
    </xf>
    <xf numFmtId="169" fontId="10" fillId="36" borderId="0" xfId="0" applyNumberFormat="1" applyFont="1" applyFill="1" applyAlignment="1">
      <alignment horizontal="right"/>
    </xf>
    <xf numFmtId="49" fontId="42" fillId="36" borderId="0" xfId="0" applyNumberFormat="1" applyFont="1" applyFill="1" applyBorder="1" applyAlignment="1">
      <alignment horizontal="left"/>
    </xf>
    <xf numFmtId="3" fontId="43" fillId="36" borderId="0" xfId="2" applyNumberFormat="1" applyFont="1" applyFill="1" applyBorder="1" applyAlignment="1">
      <alignment horizontal="right"/>
    </xf>
    <xf numFmtId="3" fontId="43" fillId="36" borderId="0" xfId="2" applyNumberFormat="1" applyFont="1" applyFill="1" applyBorder="1" applyAlignment="1">
      <alignment horizontal="right" wrapText="1"/>
    </xf>
    <xf numFmtId="3" fontId="42" fillId="36" borderId="0" xfId="2" applyNumberFormat="1" applyFont="1" applyFill="1" applyBorder="1" applyAlignment="1">
      <alignment horizontal="right"/>
    </xf>
    <xf numFmtId="2" fontId="11" fillId="36" borderId="0" xfId="0" applyNumberFormat="1" applyFont="1" applyFill="1" applyBorder="1" applyAlignment="1">
      <alignment horizontal="left"/>
    </xf>
    <xf numFmtId="171" fontId="42" fillId="36" borderId="0" xfId="2" applyNumberFormat="1" applyFont="1" applyFill="1" applyBorder="1" applyAlignment="1">
      <alignment horizontal="right"/>
    </xf>
    <xf numFmtId="170" fontId="43" fillId="36" borderId="0" xfId="2" applyNumberFormat="1" applyFont="1" applyFill="1" applyBorder="1" applyAlignment="1">
      <alignment horizontal="right" wrapText="1"/>
    </xf>
    <xf numFmtId="171" fontId="36" fillId="36" borderId="0" xfId="2" applyNumberFormat="1" applyFont="1" applyFill="1" applyAlignment="1">
      <alignment horizontal="right"/>
    </xf>
    <xf numFmtId="170" fontId="36" fillId="36" borderId="0" xfId="2" applyNumberFormat="1" applyFont="1" applyFill="1" applyAlignment="1">
      <alignment horizontal="right"/>
    </xf>
    <xf numFmtId="0" fontId="44" fillId="36" borderId="0" xfId="2" applyNumberFormat="1" applyFont="1" applyFill="1" applyBorder="1" applyAlignment="1">
      <alignment horizontal="left"/>
    </xf>
    <xf numFmtId="4" fontId="36" fillId="36" borderId="0" xfId="2" applyNumberFormat="1" applyFont="1" applyFill="1" applyAlignment="1">
      <alignment horizontal="right"/>
    </xf>
    <xf numFmtId="49" fontId="11" fillId="36" borderId="2" xfId="73" applyNumberFormat="1" applyFont="1" applyFill="1" applyBorder="1" applyAlignment="1">
      <alignment horizontal="right" wrapText="1"/>
    </xf>
    <xf numFmtId="49" fontId="54" fillId="36" borderId="30" xfId="73" applyNumberFormat="1" applyFont="1" applyFill="1" applyBorder="1" applyAlignment="1">
      <alignment horizontal="right" wrapText="1"/>
    </xf>
    <xf numFmtId="0" fontId="10" fillId="36" borderId="0" xfId="0" applyNumberFormat="1" applyFont="1" applyFill="1" applyAlignment="1">
      <alignment wrapText="1"/>
    </xf>
    <xf numFmtId="0" fontId="46" fillId="36" borderId="0" xfId="3" applyNumberFormat="1" applyFont="1" applyFill="1" applyAlignment="1">
      <alignment horizontal="left"/>
    </xf>
    <xf numFmtId="0" fontId="39" fillId="36" borderId="0" xfId="3" applyNumberFormat="1" applyFont="1" applyFill="1" applyAlignment="1">
      <alignment horizontal="right"/>
    </xf>
    <xf numFmtId="0" fontId="39" fillId="36" borderId="0" xfId="3" applyNumberFormat="1" applyFont="1" applyFill="1" applyBorder="1" applyAlignment="1">
      <alignment horizontal="right"/>
    </xf>
    <xf numFmtId="0" fontId="10" fillId="36" borderId="0" xfId="3" applyNumberFormat="1" applyFont="1" applyFill="1" applyAlignment="1">
      <alignment horizontal="left" wrapText="1"/>
    </xf>
    <xf numFmtId="0" fontId="10" fillId="36" borderId="0" xfId="0" applyNumberFormat="1" applyFont="1" applyFill="1" applyAlignment="1">
      <alignment horizontal="right" wrapText="1"/>
    </xf>
    <xf numFmtId="49" fontId="10" fillId="36" borderId="0" xfId="0" applyNumberFormat="1" applyFont="1" applyFill="1" applyAlignment="1">
      <alignment horizontal="left"/>
    </xf>
    <xf numFmtId="0" fontId="40" fillId="36" borderId="0" xfId="3" applyNumberFormat="1" applyFont="1" applyFill="1" applyAlignment="1">
      <alignment horizontal="left" wrapText="1"/>
    </xf>
    <xf numFmtId="1" fontId="40" fillId="36" borderId="0" xfId="3" applyNumberFormat="1" applyFont="1" applyFill="1" applyAlignment="1">
      <alignment horizontal="left"/>
    </xf>
    <xf numFmtId="49" fontId="10" fillId="36" borderId="0" xfId="3" applyNumberFormat="1" applyFont="1" applyFill="1" applyAlignment="1">
      <alignment horizontal="left"/>
    </xf>
    <xf numFmtId="49" fontId="10" fillId="36" borderId="0" xfId="3" applyNumberFormat="1" applyFont="1" applyFill="1" applyAlignment="1">
      <alignment horizontal="left" wrapText="1"/>
    </xf>
    <xf numFmtId="0" fontId="10" fillId="36" borderId="0" xfId="3" applyNumberFormat="1" applyFont="1" applyFill="1" applyAlignment="1">
      <alignment horizontal="left"/>
    </xf>
    <xf numFmtId="0" fontId="10" fillId="36" borderId="0" xfId="3" applyNumberFormat="1" applyFont="1" applyFill="1" applyBorder="1" applyAlignment="1">
      <alignment horizontal="right"/>
    </xf>
    <xf numFmtId="0" fontId="10" fillId="36" borderId="0" xfId="3" applyNumberFormat="1" applyFont="1" applyFill="1" applyAlignment="1">
      <alignment horizontal="right"/>
    </xf>
    <xf numFmtId="0" fontId="11" fillId="36" borderId="0" xfId="3" applyNumberFormat="1" applyFont="1" applyFill="1" applyBorder="1" applyAlignment="1">
      <alignment horizontal="right"/>
    </xf>
    <xf numFmtId="3" fontId="10" fillId="36" borderId="0" xfId="3" applyNumberFormat="1" applyFont="1" applyFill="1" applyBorder="1" applyAlignment="1">
      <alignment horizontal="right"/>
    </xf>
    <xf numFmtId="3" fontId="10" fillId="36" borderId="0" xfId="3" applyNumberFormat="1" applyFont="1" applyFill="1" applyAlignment="1">
      <alignment horizontal="right"/>
    </xf>
    <xf numFmtId="0" fontId="11" fillId="36" borderId="0" xfId="3" applyNumberFormat="1" applyFont="1" applyFill="1" applyAlignment="1">
      <alignment horizontal="left"/>
    </xf>
    <xf numFmtId="0" fontId="11" fillId="36" borderId="0" xfId="3" applyNumberFormat="1" applyFont="1" applyFill="1" applyAlignment="1">
      <alignment horizontal="right"/>
    </xf>
    <xf numFmtId="49" fontId="10" fillId="36" borderId="0" xfId="3" applyNumberFormat="1" applyFont="1" applyFill="1" applyBorder="1" applyAlignment="1">
      <alignment horizontal="left"/>
    </xf>
    <xf numFmtId="49" fontId="11" fillId="36" borderId="30" xfId="73" applyNumberFormat="1" applyFont="1" applyFill="1" applyBorder="1" applyAlignment="1">
      <alignment horizontal="left"/>
    </xf>
    <xf numFmtId="49" fontId="11" fillId="36" borderId="30" xfId="73" applyNumberFormat="1" applyFont="1" applyFill="1" applyBorder="1" applyAlignment="1">
      <alignment horizontal="right" wrapText="1"/>
    </xf>
    <xf numFmtId="0" fontId="11" fillId="36" borderId="30" xfId="73" applyNumberFormat="1" applyFont="1" applyFill="1" applyBorder="1" applyAlignment="1">
      <alignment horizontal="left"/>
    </xf>
    <xf numFmtId="1" fontId="11" fillId="36" borderId="30" xfId="73" applyNumberFormat="1" applyFont="1" applyFill="1" applyBorder="1" applyAlignment="1">
      <alignment horizontal="right"/>
    </xf>
    <xf numFmtId="0" fontId="48" fillId="36" borderId="0" xfId="3" applyNumberFormat="1" applyFont="1" applyFill="1" applyAlignment="1">
      <alignment horizontal="left"/>
    </xf>
    <xf numFmtId="0" fontId="33" fillId="36" borderId="0" xfId="68" applyNumberFormat="1" applyFont="1" applyFill="1" applyBorder="1" applyAlignment="1">
      <alignment horizontal="right"/>
    </xf>
    <xf numFmtId="0" fontId="10" fillId="36" borderId="0" xfId="3" applyNumberFormat="1" applyFont="1" applyFill="1" applyAlignment="1"/>
    <xf numFmtId="0" fontId="10" fillId="36" borderId="0" xfId="0" applyNumberFormat="1" applyFont="1" applyFill="1" applyAlignment="1"/>
    <xf numFmtId="0" fontId="10" fillId="36" borderId="0" xfId="3" applyNumberFormat="1" applyFont="1" applyFill="1" applyBorder="1" applyAlignment="1">
      <alignment horizontal="left" wrapText="1"/>
    </xf>
    <xf numFmtId="0" fontId="10" fillId="36" borderId="0" xfId="0" applyNumberFormat="1" applyFont="1" applyFill="1" applyAlignment="1">
      <alignment horizontal="left" wrapText="1"/>
    </xf>
    <xf numFmtId="49" fontId="10" fillId="36" borderId="0" xfId="3" applyNumberFormat="1" applyFont="1" applyFill="1" applyBorder="1" applyAlignment="1">
      <alignment horizontal="left" wrapText="1"/>
    </xf>
    <xf numFmtId="1" fontId="11" fillId="36" borderId="0" xfId="0" applyNumberFormat="1" applyFont="1" applyFill="1" applyAlignment="1">
      <alignment horizontal="left"/>
    </xf>
    <xf numFmtId="0" fontId="10" fillId="36" borderId="0" xfId="68" applyNumberFormat="1" applyFont="1" applyFill="1" applyBorder="1" applyAlignment="1">
      <alignment horizontal="right"/>
    </xf>
    <xf numFmtId="0" fontId="11" fillId="36" borderId="0" xfId="0" applyNumberFormat="1" applyFont="1" applyFill="1" applyBorder="1" applyAlignment="1">
      <alignment horizontal="right"/>
    </xf>
    <xf numFmtId="0" fontId="23" fillId="36" borderId="0" xfId="0" applyNumberFormat="1" applyFont="1" applyFill="1" applyAlignment="1">
      <alignment horizontal="left"/>
    </xf>
    <xf numFmtId="0" fontId="23" fillId="36" borderId="0" xfId="0" applyNumberFormat="1" applyFont="1" applyFill="1" applyBorder="1" applyAlignment="1">
      <alignment horizontal="right"/>
    </xf>
    <xf numFmtId="0" fontId="52" fillId="36" borderId="0" xfId="0" applyNumberFormat="1" applyFont="1" applyFill="1" applyAlignment="1">
      <alignment horizontal="left"/>
    </xf>
    <xf numFmtId="1" fontId="11" fillId="36" borderId="0" xfId="62" applyNumberFormat="1" applyFont="1" applyFill="1" applyAlignment="1">
      <alignment horizontal="left"/>
    </xf>
    <xf numFmtId="0" fontId="0" fillId="36" borderId="0" xfId="0" applyNumberFormat="1" applyFill="1" applyAlignment="1">
      <alignment horizontal="left"/>
    </xf>
    <xf numFmtId="49" fontId="40" fillId="36" borderId="0" xfId="3" applyNumberFormat="1" applyFont="1" applyFill="1" applyAlignment="1">
      <alignment horizontal="left"/>
    </xf>
    <xf numFmtId="0" fontId="48" fillId="36" borderId="0" xfId="0" applyNumberFormat="1" applyFont="1" applyFill="1" applyAlignment="1">
      <alignment horizontal="right"/>
    </xf>
    <xf numFmtId="0" fontId="48" fillId="36" borderId="0" xfId="72" applyNumberFormat="1" applyFont="1" applyFill="1" applyAlignment="1">
      <alignment horizontal="right"/>
    </xf>
    <xf numFmtId="0" fontId="48" fillId="36" borderId="0" xfId="63" applyNumberFormat="1" applyFont="1" applyFill="1" applyBorder="1" applyAlignment="1">
      <alignment horizontal="right"/>
    </xf>
    <xf numFmtId="0" fontId="40" fillId="36" borderId="0" xfId="72" applyNumberFormat="1" applyFont="1" applyFill="1" applyAlignment="1">
      <alignment horizontal="right"/>
    </xf>
    <xf numFmtId="3" fontId="10" fillId="36" borderId="0" xfId="0" applyNumberFormat="1" applyFont="1" applyFill="1" applyAlignment="1">
      <alignment horizontal="right"/>
    </xf>
    <xf numFmtId="0" fontId="39" fillId="36" borderId="0" xfId="3" applyNumberFormat="1" applyFont="1" applyFill="1" applyAlignment="1">
      <alignment horizontal="left"/>
    </xf>
    <xf numFmtId="0" fontId="39" fillId="36" borderId="0" xfId="65" applyNumberFormat="1" applyFont="1" applyFill="1" applyBorder="1" applyAlignment="1">
      <alignment horizontal="right"/>
    </xf>
    <xf numFmtId="0" fontId="39" fillId="36" borderId="0" xfId="63" applyNumberFormat="1" applyFont="1" applyFill="1" applyBorder="1" applyAlignment="1">
      <alignment horizontal="right"/>
    </xf>
    <xf numFmtId="0" fontId="11" fillId="36" borderId="0" xfId="3" applyNumberFormat="1" applyFont="1" applyFill="1" applyBorder="1" applyAlignment="1">
      <alignment horizontal="left"/>
    </xf>
    <xf numFmtId="164" fontId="10" fillId="36" borderId="0" xfId="3" applyNumberFormat="1" applyFont="1" applyFill="1" applyAlignment="1">
      <alignment horizontal="right"/>
    </xf>
    <xf numFmtId="3" fontId="11" fillId="36" borderId="0" xfId="62" applyNumberFormat="1" applyFont="1" applyFill="1" applyBorder="1" applyAlignment="1">
      <alignment horizontal="right"/>
    </xf>
    <xf numFmtId="0" fontId="10" fillId="36" borderId="0" xfId="0" applyFont="1" applyFill="1" applyAlignment="1">
      <alignment horizontal="left"/>
    </xf>
    <xf numFmtId="49" fontId="10" fillId="36" borderId="0" xfId="3" applyNumberFormat="1" applyFont="1" applyFill="1" applyBorder="1" applyAlignment="1">
      <alignment horizontal="left"/>
    </xf>
    <xf numFmtId="0" fontId="11" fillId="36" borderId="30" xfId="73" applyNumberFormat="1" applyFont="1" applyFill="1" applyBorder="1" applyAlignment="1">
      <alignment horizontal="right"/>
    </xf>
    <xf numFmtId="0" fontId="0" fillId="36" borderId="30" xfId="73" applyNumberFormat="1" applyFont="1" applyFill="1" applyBorder="1" applyAlignment="1">
      <alignment horizontal="left"/>
    </xf>
    <xf numFmtId="49" fontId="10" fillId="36" borderId="26" xfId="3" applyNumberFormat="1" applyFont="1" applyFill="1" applyBorder="1" applyAlignment="1">
      <alignment horizontal="left"/>
    </xf>
    <xf numFmtId="3" fontId="10" fillId="36" borderId="26" xfId="3" applyNumberFormat="1" applyFont="1" applyFill="1" applyBorder="1" applyAlignment="1">
      <alignment horizontal="right"/>
    </xf>
    <xf numFmtId="0" fontId="11" fillId="36" borderId="0" xfId="71" applyNumberFormat="1" applyFont="1" applyFill="1" applyAlignment="1">
      <alignment horizontal="left"/>
    </xf>
    <xf numFmtId="0" fontId="10" fillId="36" borderId="0" xfId="67" applyNumberFormat="1" applyFont="1" applyFill="1" applyBorder="1" applyAlignment="1">
      <alignment horizontal="right"/>
    </xf>
    <xf numFmtId="0" fontId="46" fillId="36" borderId="0" xfId="71" applyNumberFormat="1" applyFont="1" applyFill="1" applyAlignment="1">
      <alignment horizontal="left"/>
    </xf>
    <xf numFmtId="0" fontId="33" fillId="36" borderId="0" xfId="67" applyNumberFormat="1" applyFont="1" applyFill="1" applyBorder="1" applyAlignment="1">
      <alignment horizontal="right"/>
    </xf>
    <xf numFmtId="0" fontId="10" fillId="36" borderId="0" xfId="3" applyFont="1" applyFill="1"/>
    <xf numFmtId="0" fontId="10" fillId="36" borderId="0" xfId="3" applyNumberFormat="1" applyFont="1" applyFill="1" applyBorder="1" applyAlignment="1">
      <alignment horizontal="left"/>
    </xf>
    <xf numFmtId="0" fontId="0" fillId="36" borderId="0" xfId="67" applyNumberFormat="1" applyFont="1" applyFill="1" applyBorder="1" applyAlignment="1"/>
    <xf numFmtId="0" fontId="33" fillId="36" borderId="0" xfId="3" applyNumberFormat="1" applyFont="1" applyFill="1" applyAlignment="1">
      <alignment horizontal="left"/>
    </xf>
    <xf numFmtId="0" fontId="39" fillId="36" borderId="0" xfId="67" quotePrefix="1" applyNumberFormat="1" applyFont="1" applyFill="1" applyBorder="1" applyAlignment="1">
      <alignment horizontal="right"/>
    </xf>
    <xf numFmtId="0" fontId="40" fillId="36" borderId="0" xfId="3" applyNumberFormat="1" applyFont="1" applyFill="1" applyAlignment="1">
      <alignment horizontal="left"/>
    </xf>
    <xf numFmtId="0" fontId="10" fillId="36" borderId="0" xfId="0" applyFont="1" applyFill="1" applyBorder="1" applyAlignment="1">
      <alignment horizontal="right"/>
    </xf>
    <xf numFmtId="0" fontId="10" fillId="36" borderId="0" xfId="0" applyNumberFormat="1" applyFont="1" applyFill="1" applyAlignment="1">
      <alignment horizontal="left"/>
    </xf>
    <xf numFmtId="0" fontId="11" fillId="36" borderId="0" xfId="0" applyNumberFormat="1" applyFont="1" applyFill="1" applyAlignment="1">
      <alignment horizontal="left"/>
    </xf>
    <xf numFmtId="0" fontId="35" fillId="36" borderId="0" xfId="2" applyFill="1"/>
    <xf numFmtId="168" fontId="10" fillId="36" borderId="0" xfId="3" applyNumberFormat="1" applyFont="1" applyFill="1" applyAlignment="1">
      <alignment horizontal="right"/>
    </xf>
    <xf numFmtId="1" fontId="11" fillId="36" borderId="30" xfId="73" quotePrefix="1" applyNumberFormat="1" applyFont="1" applyFill="1" applyBorder="1" applyAlignment="1">
      <alignment horizontal="right"/>
    </xf>
    <xf numFmtId="0" fontId="10" fillId="36" borderId="0" xfId="3" applyFont="1" applyFill="1" applyBorder="1" applyAlignment="1">
      <alignment horizontal="right"/>
    </xf>
    <xf numFmtId="0" fontId="51" fillId="36" borderId="0" xfId="67" applyNumberFormat="1" applyFont="1" applyFill="1" applyBorder="1" applyAlignment="1">
      <alignment horizontal="right"/>
    </xf>
    <xf numFmtId="1" fontId="11" fillId="36" borderId="0" xfId="3" applyNumberFormat="1" applyFont="1" applyFill="1" applyBorder="1" applyAlignment="1">
      <alignment horizontal="left"/>
    </xf>
    <xf numFmtId="0" fontId="48" fillId="36" borderId="0" xfId="71" applyNumberFormat="1" applyFont="1" applyFill="1" applyAlignment="1">
      <alignment horizontal="left"/>
    </xf>
    <xf numFmtId="0" fontId="48" fillId="36" borderId="0" xfId="3" applyNumberFormat="1" applyFont="1" applyFill="1" applyAlignment="1">
      <alignment horizontal="right"/>
    </xf>
    <xf numFmtId="0" fontId="48" fillId="36" borderId="0" xfId="3" applyNumberFormat="1" applyFont="1" applyFill="1" applyBorder="1" applyAlignment="1">
      <alignment horizontal="right"/>
    </xf>
    <xf numFmtId="165" fontId="10" fillId="36" borderId="0" xfId="3" applyNumberFormat="1" applyFont="1" applyFill="1" applyBorder="1" applyAlignment="1">
      <alignment horizontal="right"/>
    </xf>
    <xf numFmtId="164" fontId="10" fillId="36" borderId="0" xfId="3" applyNumberFormat="1" applyFont="1" applyFill="1" applyBorder="1" applyAlignment="1">
      <alignment horizontal="right"/>
    </xf>
    <xf numFmtId="49" fontId="11" fillId="36" borderId="0" xfId="3" applyNumberFormat="1" applyFont="1" applyFill="1" applyBorder="1" applyAlignment="1">
      <alignment horizontal="left"/>
    </xf>
    <xf numFmtId="165" fontId="11" fillId="36" borderId="0" xfId="3" applyNumberFormat="1" applyFont="1" applyFill="1" applyBorder="1" applyAlignment="1">
      <alignment horizontal="right"/>
    </xf>
    <xf numFmtId="164" fontId="11" fillId="36" borderId="0" xfId="3" applyNumberFormat="1" applyFont="1" applyFill="1" applyBorder="1" applyAlignment="1">
      <alignment horizontal="right"/>
    </xf>
    <xf numFmtId="49" fontId="33" fillId="36" borderId="0" xfId="3" applyNumberFormat="1" applyFont="1" applyFill="1" applyBorder="1" applyAlignment="1">
      <alignment horizontal="left"/>
    </xf>
    <xf numFmtId="49" fontId="39" fillId="36" borderId="0" xfId="3" applyNumberFormat="1" applyFont="1" applyFill="1" applyBorder="1" applyAlignment="1">
      <alignment horizontal="left"/>
    </xf>
    <xf numFmtId="0" fontId="39" fillId="36" borderId="0" xfId="3" applyFont="1" applyFill="1" applyBorder="1" applyAlignment="1">
      <alignment horizontal="right"/>
    </xf>
    <xf numFmtId="165" fontId="39" fillId="36" borderId="0" xfId="3" applyNumberFormat="1" applyFont="1" applyFill="1" applyBorder="1" applyAlignment="1">
      <alignment horizontal="right"/>
    </xf>
    <xf numFmtId="164" fontId="39" fillId="36" borderId="0" xfId="3" applyNumberFormat="1" applyFont="1" applyFill="1" applyBorder="1" applyAlignment="1">
      <alignment horizontal="right"/>
    </xf>
    <xf numFmtId="0" fontId="48" fillId="36" borderId="0" xfId="0" applyNumberFormat="1" applyFont="1" applyFill="1" applyAlignment="1">
      <alignment horizontal="left"/>
    </xf>
    <xf numFmtId="0" fontId="10" fillId="36" borderId="0" xfId="3" applyNumberFormat="1" applyFont="1" applyFill="1" applyBorder="1" applyAlignment="1">
      <alignment horizontal="right" wrapText="1"/>
    </xf>
    <xf numFmtId="0" fontId="0" fillId="36" borderId="0" xfId="62" applyNumberFormat="1" applyFont="1" applyFill="1" applyAlignment="1"/>
    <xf numFmtId="0" fontId="10" fillId="36" borderId="30" xfId="73" applyNumberFormat="1" applyFont="1" applyFill="1" applyBorder="1" applyAlignment="1">
      <alignment wrapText="1"/>
    </xf>
    <xf numFmtId="0" fontId="48" fillId="36" borderId="0" xfId="0" applyNumberFormat="1" applyFont="1" applyFill="1" applyAlignment="1">
      <alignment horizontal="left" wrapText="1"/>
    </xf>
    <xf numFmtId="49" fontId="11" fillId="36" borderId="34" xfId="73" applyNumberFormat="1" applyFont="1" applyFill="1" applyBorder="1" applyAlignment="1">
      <alignment horizontal="left"/>
    </xf>
    <xf numFmtId="49" fontId="11" fillId="36" borderId="34" xfId="73" applyNumberFormat="1" applyFont="1" applyFill="1" applyBorder="1" applyAlignment="1">
      <alignment horizontal="right" wrapText="1"/>
    </xf>
    <xf numFmtId="0" fontId="10" fillId="36" borderId="0" xfId="68" applyNumberFormat="1" applyFont="1" applyFill="1" applyBorder="1" applyAlignment="1">
      <alignment wrapText="1"/>
    </xf>
    <xf numFmtId="0" fontId="48" fillId="36" borderId="0" xfId="68" applyNumberFormat="1" applyFont="1" applyFill="1" applyBorder="1" applyAlignment="1">
      <alignment horizontal="right"/>
    </xf>
    <xf numFmtId="168" fontId="10" fillId="36" borderId="0" xfId="0" applyNumberFormat="1" applyFont="1" applyFill="1" applyAlignment="1">
      <alignment horizontal="right"/>
    </xf>
    <xf numFmtId="49" fontId="11" fillId="36" borderId="34" xfId="73" applyNumberFormat="1" applyFont="1" applyFill="1" applyBorder="1" applyAlignment="1">
      <alignment horizontal="right"/>
    </xf>
    <xf numFmtId="49" fontId="39" fillId="36" borderId="0" xfId="3" applyNumberFormat="1" applyFont="1" applyFill="1" applyAlignment="1">
      <alignment horizontal="left"/>
    </xf>
    <xf numFmtId="0" fontId="39" fillId="36" borderId="0" xfId="3" applyFont="1" applyFill="1" applyAlignment="1">
      <alignment horizontal="right"/>
    </xf>
    <xf numFmtId="1" fontId="11" fillId="36" borderId="34" xfId="73" applyNumberFormat="1" applyFont="1" applyFill="1" applyBorder="1" applyAlignment="1">
      <alignment horizontal="right"/>
    </xf>
    <xf numFmtId="0" fontId="0" fillId="36" borderId="0" xfId="71" applyNumberFormat="1" applyFont="1" applyFill="1" applyAlignment="1"/>
    <xf numFmtId="0" fontId="0" fillId="36" borderId="0" xfId="68" applyNumberFormat="1" applyFont="1" applyFill="1" applyBorder="1" applyAlignment="1"/>
    <xf numFmtId="1" fontId="11" fillId="36" borderId="34" xfId="73" applyNumberFormat="1" applyFont="1" applyFill="1" applyBorder="1" applyAlignment="1">
      <alignment horizontal="right" wrapText="1"/>
    </xf>
    <xf numFmtId="0" fontId="50" fillId="36" borderId="0" xfId="3" applyNumberFormat="1" applyFont="1" applyFill="1" applyAlignment="1">
      <alignment horizontal="left"/>
    </xf>
    <xf numFmtId="0" fontId="11" fillId="36" borderId="0" xfId="67" applyNumberFormat="1" applyFont="1" applyFill="1" applyBorder="1" applyAlignment="1">
      <alignment horizontal="right"/>
    </xf>
    <xf numFmtId="3" fontId="11" fillId="36" borderId="0" xfId="0" applyNumberFormat="1" applyFont="1" applyFill="1" applyAlignment="1">
      <alignment horizontal="right"/>
    </xf>
    <xf numFmtId="0" fontId="40" fillId="36" borderId="0" xfId="0" applyNumberFormat="1" applyFont="1" applyFill="1" applyAlignment="1">
      <alignment horizontal="left"/>
    </xf>
    <xf numFmtId="0" fontId="36" fillId="36" borderId="0" xfId="0" applyNumberFormat="1" applyFont="1" applyFill="1" applyAlignment="1">
      <alignment horizontal="left"/>
    </xf>
    <xf numFmtId="0" fontId="36" fillId="36" borderId="0" xfId="67" applyNumberFormat="1" applyFont="1" applyFill="1" applyBorder="1" applyAlignment="1">
      <alignment horizontal="right"/>
    </xf>
    <xf numFmtId="0" fontId="10" fillId="36" borderId="0" xfId="69" applyNumberFormat="1" applyFont="1" applyFill="1" applyAlignment="1">
      <alignment horizontal="right"/>
    </xf>
    <xf numFmtId="0" fontId="48" fillId="36" borderId="0" xfId="66" applyNumberFormat="1" applyFont="1" applyFill="1" applyBorder="1" applyAlignment="1">
      <alignment horizontal="left"/>
    </xf>
    <xf numFmtId="0" fontId="48" fillId="36" borderId="0" xfId="69" applyNumberFormat="1" applyFont="1" applyFill="1" applyBorder="1" applyAlignment="1">
      <alignment horizontal="right"/>
    </xf>
    <xf numFmtId="0" fontId="10" fillId="36" borderId="0" xfId="0" applyFont="1" applyFill="1" applyAlignment="1"/>
    <xf numFmtId="0" fontId="0" fillId="36" borderId="0" xfId="0" applyFill="1" applyAlignment="1">
      <alignment horizontal="right"/>
    </xf>
    <xf numFmtId="172" fontId="11" fillId="36" borderId="0" xfId="2" applyNumberFormat="1" applyFont="1" applyFill="1" applyAlignment="1">
      <alignment horizontal="right"/>
    </xf>
    <xf numFmtId="49" fontId="10" fillId="36" borderId="0" xfId="0" applyNumberFormat="1" applyFont="1" applyFill="1" applyAlignment="1"/>
    <xf numFmtId="49" fontId="10" fillId="36" borderId="26" xfId="0" applyNumberFormat="1" applyFont="1" applyFill="1" applyBorder="1" applyAlignment="1"/>
    <xf numFmtId="0" fontId="0" fillId="36" borderId="0" xfId="0" applyNumberFormat="1" applyFill="1" applyAlignment="1">
      <alignment horizontal="right"/>
    </xf>
    <xf numFmtId="0" fontId="10" fillId="36" borderId="0" xfId="0" applyFont="1" applyFill="1" applyBorder="1" applyAlignment="1">
      <alignment horizontal="left"/>
    </xf>
    <xf numFmtId="49" fontId="10" fillId="36" borderId="0" xfId="3" applyNumberFormat="1" applyFont="1" applyFill="1" applyBorder="1" applyAlignment="1">
      <alignment horizontal="left" wrapText="1"/>
    </xf>
    <xf numFmtId="0" fontId="10" fillId="36" borderId="0" xfId="3" applyNumberFormat="1" applyFont="1" applyFill="1" applyBorder="1" applyAlignment="1">
      <alignment horizontal="left" wrapText="1"/>
    </xf>
    <xf numFmtId="164" fontId="10" fillId="36" borderId="26" xfId="3" applyNumberFormat="1" applyFont="1" applyFill="1" applyBorder="1" applyAlignment="1">
      <alignment horizontal="right"/>
    </xf>
    <xf numFmtId="0" fontId="0" fillId="36" borderId="0" xfId="0" applyFont="1" applyFill="1"/>
    <xf numFmtId="49" fontId="10" fillId="36" borderId="33" xfId="3" applyNumberFormat="1" applyFont="1" applyFill="1" applyBorder="1" applyAlignment="1">
      <alignment horizontal="left"/>
    </xf>
    <xf numFmtId="0" fontId="10" fillId="36" borderId="0" xfId="3" applyNumberFormat="1" applyFont="1" applyFill="1" applyBorder="1" applyAlignment="1">
      <alignment horizontal="left"/>
    </xf>
    <xf numFmtId="49" fontId="10" fillId="36" borderId="0" xfId="0" applyNumberFormat="1" applyFont="1" applyFill="1" applyAlignment="1">
      <alignment horizontal="left" wrapText="1"/>
    </xf>
    <xf numFmtId="1" fontId="11" fillId="36" borderId="0" xfId="75" applyNumberFormat="1" applyFont="1" applyFill="1" applyBorder="1" applyAlignment="1">
      <alignment horizontal="right"/>
    </xf>
    <xf numFmtId="3" fontId="10" fillId="36" borderId="0" xfId="76" applyNumberFormat="1" applyFont="1" applyFill="1" applyBorder="1" applyAlignment="1">
      <alignment horizontal="right"/>
    </xf>
    <xf numFmtId="3" fontId="10" fillId="36" borderId="27" xfId="76" applyNumberFormat="1" applyFont="1" applyFill="1" applyBorder="1" applyAlignment="1">
      <alignment horizontal="right"/>
    </xf>
    <xf numFmtId="3" fontId="10" fillId="36" borderId="1" xfId="76" applyNumberFormat="1" applyFont="1" applyFill="1" applyBorder="1" applyAlignment="1">
      <alignment horizontal="right"/>
    </xf>
    <xf numFmtId="3" fontId="10" fillId="36" borderId="30" xfId="77" applyNumberFormat="1" applyFont="1" applyFill="1" applyBorder="1" applyAlignment="1">
      <alignment horizontal="right"/>
    </xf>
    <xf numFmtId="49" fontId="10" fillId="36" borderId="30" xfId="77" applyNumberFormat="1" applyFont="1" applyFill="1" applyBorder="1" applyAlignment="1">
      <alignment horizontal="left"/>
    </xf>
    <xf numFmtId="3" fontId="10" fillId="36" borderId="1" xfId="76" quotePrefix="1" applyNumberFormat="1" applyFont="1" applyFill="1" applyBorder="1" applyAlignment="1">
      <alignment horizontal="right"/>
    </xf>
    <xf numFmtId="49" fontId="10" fillId="36" borderId="27" xfId="76" applyNumberFormat="1" applyFont="1" applyFill="1" applyBorder="1" applyAlignment="1">
      <alignment horizontal="left"/>
    </xf>
    <xf numFmtId="49" fontId="10" fillId="36" borderId="31" xfId="76" applyNumberFormat="1" applyFont="1" applyFill="1" applyBorder="1" applyAlignment="1">
      <alignment horizontal="left"/>
    </xf>
    <xf numFmtId="3" fontId="10" fillId="36" borderId="31" xfId="76" applyNumberFormat="1" applyFont="1" applyFill="1" applyBorder="1" applyAlignment="1">
      <alignment horizontal="right"/>
    </xf>
    <xf numFmtId="3" fontId="10" fillId="36" borderId="30" xfId="77" quotePrefix="1" applyNumberFormat="1" applyFont="1" applyFill="1" applyBorder="1" applyAlignment="1">
      <alignment horizontal="right"/>
    </xf>
    <xf numFmtId="0" fontId="10" fillId="36" borderId="30" xfId="73" applyNumberFormat="1" applyFont="1" applyFill="1" applyBorder="1" applyAlignment="1">
      <alignment horizontal="left"/>
    </xf>
    <xf numFmtId="49" fontId="10" fillId="36" borderId="1" xfId="76" applyNumberFormat="1" applyFont="1" applyFill="1" applyBorder="1" applyAlignment="1">
      <alignment horizontal="left"/>
    </xf>
    <xf numFmtId="49" fontId="10" fillId="36" borderId="0" xfId="67" applyNumberFormat="1" applyFont="1" applyFill="1" applyBorder="1" applyAlignment="1"/>
    <xf numFmtId="0" fontId="10" fillId="36" borderId="0" xfId="67" applyNumberFormat="1" applyFont="1" applyFill="1" applyBorder="1" applyAlignment="1">
      <alignment wrapText="1"/>
    </xf>
    <xf numFmtId="0" fontId="10" fillId="36" borderId="0" xfId="71" applyNumberFormat="1" applyFont="1" applyFill="1" applyAlignment="1">
      <alignment wrapText="1"/>
    </xf>
    <xf numFmtId="0" fontId="33" fillId="36" borderId="0" xfId="71" applyNumberFormat="1" applyFont="1" applyFill="1" applyAlignment="1">
      <alignment horizontal="left"/>
    </xf>
    <xf numFmtId="0" fontId="0" fillId="36" borderId="30" xfId="77" applyNumberFormat="1" applyFont="1" applyFill="1" applyBorder="1" applyAlignment="1"/>
    <xf numFmtId="3" fontId="10" fillId="36" borderId="32" xfId="76" applyNumberFormat="1" applyFont="1" applyFill="1" applyBorder="1" applyAlignment="1">
      <alignment horizontal="right"/>
    </xf>
    <xf numFmtId="49" fontId="10" fillId="36" borderId="1" xfId="76" applyNumberFormat="1" applyFont="1" applyFill="1" applyBorder="1" applyAlignment="1">
      <alignment horizontal="left" wrapText="1"/>
    </xf>
    <xf numFmtId="49" fontId="11" fillId="36" borderId="32" xfId="76" applyNumberFormat="1" applyFont="1" applyFill="1" applyBorder="1" applyAlignment="1">
      <alignment horizontal="left"/>
    </xf>
    <xf numFmtId="0" fontId="0" fillId="36" borderId="1" xfId="76" applyNumberFormat="1" applyFont="1" applyFill="1" applyBorder="1" applyAlignment="1"/>
    <xf numFmtId="3" fontId="6" fillId="36" borderId="1" xfId="76" applyNumberFormat="1" applyFont="1" applyFill="1" applyBorder="1" applyAlignment="1">
      <alignment horizontal="right"/>
    </xf>
    <xf numFmtId="3" fontId="6" fillId="36" borderId="30" xfId="77" applyNumberFormat="1" applyFont="1" applyFill="1" applyBorder="1" applyAlignment="1">
      <alignment horizontal="right"/>
    </xf>
    <xf numFmtId="0" fontId="10" fillId="36" borderId="0" xfId="76" applyNumberFormat="1" applyFont="1" applyFill="1" applyBorder="1" applyAlignment="1">
      <alignment horizontal="left"/>
    </xf>
    <xf numFmtId="0" fontId="10" fillId="36" borderId="1" xfId="76" applyFont="1" applyFill="1" applyBorder="1" applyAlignment="1">
      <alignment horizontal="right"/>
    </xf>
    <xf numFmtId="165" fontId="10" fillId="36" borderId="1" xfId="76" applyNumberFormat="1" applyFont="1" applyFill="1" applyBorder="1" applyAlignment="1">
      <alignment horizontal="right"/>
    </xf>
    <xf numFmtId="49" fontId="10" fillId="36" borderId="0" xfId="77" applyNumberFormat="1" applyFont="1" applyFill="1" applyBorder="1" applyAlignment="1">
      <alignment horizontal="left"/>
    </xf>
    <xf numFmtId="0" fontId="10" fillId="36" borderId="2" xfId="73" applyNumberFormat="1" applyFont="1" applyFill="1" applyBorder="1" applyAlignment="1">
      <alignment horizontal="right"/>
    </xf>
    <xf numFmtId="0" fontId="0" fillId="36" borderId="0" xfId="75" applyNumberFormat="1" applyFont="1" applyFill="1" applyAlignment="1">
      <alignment horizontal="right"/>
    </xf>
    <xf numFmtId="0" fontId="0" fillId="36" borderId="0" xfId="75" applyNumberFormat="1" applyFont="1" applyFill="1" applyAlignment="1"/>
    <xf numFmtId="3" fontId="10" fillId="0" borderId="27" xfId="76" applyNumberFormat="1" applyFont="1" applyFill="1" applyBorder="1" applyAlignment="1">
      <alignment horizontal="right"/>
    </xf>
    <xf numFmtId="49" fontId="10" fillId="36" borderId="1" xfId="76" applyNumberFormat="1" applyFont="1" applyFill="1" applyAlignment="1">
      <alignment horizontal="left"/>
    </xf>
    <xf numFmtId="4" fontId="10" fillId="36" borderId="27" xfId="76" applyNumberFormat="1" applyFont="1" applyFill="1" applyBorder="1" applyAlignment="1">
      <alignment horizontal="right"/>
    </xf>
    <xf numFmtId="49" fontId="10" fillId="36" borderId="2" xfId="77" applyNumberFormat="1" applyFont="1" applyFill="1" applyBorder="1" applyAlignment="1">
      <alignment horizontal="left"/>
    </xf>
    <xf numFmtId="0" fontId="10" fillId="36" borderId="34" xfId="77" applyNumberFormat="1" applyFont="1" applyFill="1" applyBorder="1" applyAlignment="1">
      <alignment horizontal="right"/>
    </xf>
    <xf numFmtId="3" fontId="10" fillId="36" borderId="34" xfId="77" applyNumberFormat="1" applyFont="1" applyFill="1" applyBorder="1" applyAlignment="1">
      <alignment horizontal="right"/>
    </xf>
    <xf numFmtId="0" fontId="36" fillId="36" borderId="0" xfId="79" applyNumberFormat="1" applyFont="1" applyFill="1" applyBorder="1" applyAlignment="1">
      <alignment horizontal="right"/>
    </xf>
    <xf numFmtId="0" fontId="36" fillId="36" borderId="0" xfId="71" applyFont="1" applyFill="1" applyAlignment="1"/>
    <xf numFmtId="0" fontId="56" fillId="36" borderId="1" xfId="76" applyFont="1" applyFill="1" applyAlignment="1" applyProtection="1">
      <alignment horizontal="right"/>
    </xf>
    <xf numFmtId="0" fontId="11" fillId="36" borderId="0" xfId="75" applyNumberFormat="1" applyFont="1" applyFill="1" applyBorder="1" applyAlignment="1">
      <alignment horizontal="right"/>
    </xf>
    <xf numFmtId="0" fontId="10" fillId="36" borderId="0" xfId="79" applyNumberFormat="1" applyFont="1" applyFill="1" applyBorder="1" applyAlignment="1">
      <alignment horizontal="right"/>
    </xf>
    <xf numFmtId="0" fontId="10" fillId="36" borderId="1" xfId="76" applyNumberFormat="1" applyFont="1" applyFill="1" applyAlignment="1">
      <alignment horizontal="right"/>
    </xf>
    <xf numFmtId="0" fontId="0" fillId="36" borderId="1" xfId="76" applyFont="1" applyFill="1" applyAlignment="1"/>
    <xf numFmtId="0" fontId="56" fillId="36" borderId="1" xfId="76" applyNumberFormat="1" applyFont="1" applyFill="1" applyAlignment="1" applyProtection="1">
      <alignment horizontal="right"/>
    </xf>
    <xf numFmtId="3" fontId="10" fillId="36" borderId="1" xfId="76" applyNumberFormat="1" applyFont="1" applyFill="1" applyAlignment="1">
      <alignment horizontal="right"/>
    </xf>
    <xf numFmtId="49" fontId="11" fillId="36" borderId="0" xfId="75" applyNumberFormat="1" applyFont="1" applyFill="1" applyBorder="1" applyAlignment="1">
      <alignment horizontal="right"/>
    </xf>
    <xf numFmtId="0" fontId="11" fillId="36" borderId="0" xfId="75" applyNumberFormat="1" applyFont="1" applyFill="1" applyAlignment="1">
      <alignment horizontal="left"/>
    </xf>
    <xf numFmtId="0" fontId="10" fillId="36" borderId="1" xfId="76" applyNumberFormat="1" applyFont="1" applyFill="1" applyAlignment="1">
      <alignment wrapText="1"/>
    </xf>
    <xf numFmtId="0" fontId="10" fillId="36" borderId="1" xfId="76" applyNumberFormat="1" applyFont="1" applyFill="1" applyAlignment="1">
      <alignment horizontal="right" wrapText="1"/>
    </xf>
    <xf numFmtId="49" fontId="10" fillId="36" borderId="1" xfId="76" applyNumberFormat="1" applyFont="1" applyFill="1" applyAlignment="1">
      <alignment horizontal="right"/>
    </xf>
    <xf numFmtId="164" fontId="10" fillId="36" borderId="1" xfId="76" applyNumberFormat="1" applyFont="1" applyFill="1" applyAlignment="1">
      <alignment horizontal="right"/>
    </xf>
    <xf numFmtId="0" fontId="10" fillId="36" borderId="1" xfId="76" applyNumberFormat="1" applyFont="1" applyFill="1" applyAlignment="1">
      <alignment horizontal="left"/>
    </xf>
    <xf numFmtId="49" fontId="11" fillId="36" borderId="34" xfId="73" applyNumberFormat="1" applyFont="1" applyFill="1" applyAlignment="1">
      <alignment horizontal="left"/>
    </xf>
    <xf numFmtId="1" fontId="11" fillId="36" borderId="34" xfId="73" quotePrefix="1" applyNumberFormat="1" applyFont="1" applyFill="1" applyAlignment="1">
      <alignment horizontal="right"/>
    </xf>
    <xf numFmtId="3" fontId="10" fillId="36" borderId="34" xfId="80" applyNumberFormat="1" applyFont="1" applyFill="1" applyAlignment="1">
      <alignment horizontal="right"/>
    </xf>
    <xf numFmtId="49" fontId="11" fillId="36" borderId="34" xfId="80" applyNumberFormat="1" applyFont="1" applyFill="1" applyAlignment="1">
      <alignment horizontal="left"/>
    </xf>
    <xf numFmtId="0" fontId="0" fillId="36" borderId="34" xfId="80" applyNumberFormat="1" applyFont="1" applyFill="1" applyAlignment="1"/>
    <xf numFmtId="3" fontId="11" fillId="36" borderId="34" xfId="80" applyNumberFormat="1" applyFont="1" applyFill="1" applyAlignment="1">
      <alignment horizontal="right"/>
    </xf>
    <xf numFmtId="49" fontId="10" fillId="36" borderId="34" xfId="77" applyNumberFormat="1" applyFont="1" applyFill="1" applyBorder="1" applyAlignment="1">
      <alignment horizontal="left" wrapText="1"/>
    </xf>
    <xf numFmtId="49" fontId="10" fillId="36" borderId="1" xfId="76" applyNumberFormat="1" applyFont="1" applyFill="1" applyAlignment="1">
      <alignment horizontal="left" wrapText="1"/>
    </xf>
    <xf numFmtId="0" fontId="10" fillId="36" borderId="1" xfId="76" applyNumberFormat="1" applyFont="1" applyFill="1" applyAlignment="1">
      <alignment horizontal="left"/>
    </xf>
    <xf numFmtId="49" fontId="11" fillId="36" borderId="34" xfId="80" applyNumberFormat="1" applyFont="1" applyFill="1" applyAlignment="1">
      <alignment horizontal="left"/>
    </xf>
    <xf numFmtId="49" fontId="11" fillId="36" borderId="34" xfId="73" applyNumberFormat="1" applyFont="1" applyFill="1" applyAlignment="1">
      <alignment horizontal="left"/>
    </xf>
    <xf numFmtId="49" fontId="11" fillId="36" borderId="34" xfId="80" applyNumberFormat="1" applyFont="1" applyFill="1" applyAlignment="1">
      <alignment horizontal="left" wrapText="1"/>
    </xf>
    <xf numFmtId="3" fontId="10" fillId="36" borderId="34" xfId="80" applyNumberFormat="1" applyFont="1" applyFill="1" applyAlignment="1">
      <alignment horizontal="right" wrapText="1"/>
    </xf>
    <xf numFmtId="0" fontId="10" fillId="36" borderId="0" xfId="71" applyNumberFormat="1" applyFont="1" applyFill="1" applyAlignment="1"/>
    <xf numFmtId="3" fontId="10" fillId="36" borderId="34" xfId="77" applyNumberFormat="1" applyFont="1" applyFill="1" applyBorder="1" applyAlignment="1">
      <alignment horizontal="right" wrapText="1"/>
    </xf>
    <xf numFmtId="0" fontId="10" fillId="36" borderId="34" xfId="80" applyNumberFormat="1" applyFont="1" applyFill="1" applyAlignment="1">
      <alignment horizontal="right"/>
    </xf>
    <xf numFmtId="49" fontId="10" fillId="36" borderId="34" xfId="77" applyNumberFormat="1" applyFont="1" applyFill="1" applyBorder="1" applyAlignment="1">
      <alignment horizontal="left"/>
    </xf>
    <xf numFmtId="1" fontId="11" fillId="36" borderId="34" xfId="73" applyNumberFormat="1" applyFont="1" applyFill="1" applyAlignment="1">
      <alignment horizontal="right"/>
    </xf>
    <xf numFmtId="0" fontId="11" fillId="36" borderId="1" xfId="76" applyNumberFormat="1" applyFont="1" applyFill="1" applyAlignment="1">
      <alignment horizontal="right"/>
    </xf>
    <xf numFmtId="0" fontId="10" fillId="36" borderId="1" xfId="76" applyNumberFormat="1" applyFont="1" applyFill="1" applyAlignment="1">
      <alignment horizontal="left" wrapText="1"/>
    </xf>
    <xf numFmtId="0" fontId="10" fillId="36" borderId="34" xfId="77" applyNumberFormat="1" applyFont="1" applyFill="1" applyBorder="1" applyAlignment="1">
      <alignment horizontal="left"/>
    </xf>
    <xf numFmtId="0" fontId="0" fillId="36" borderId="1" xfId="76" applyNumberFormat="1" applyFont="1" applyFill="1" applyAlignment="1"/>
    <xf numFmtId="0" fontId="11" fillId="36" borderId="34" xfId="77" applyNumberFormat="1" applyFont="1" applyFill="1" applyBorder="1" applyAlignment="1">
      <alignment horizontal="right"/>
    </xf>
    <xf numFmtId="3" fontId="10" fillId="36" borderId="1" xfId="76" applyNumberFormat="1" applyFont="1" applyFill="1" applyAlignment="1">
      <alignment horizontal="right" wrapText="1"/>
    </xf>
    <xf numFmtId="0" fontId="11" fillId="36" borderId="34" xfId="73" applyNumberFormat="1" applyFont="1" applyFill="1" applyAlignment="1">
      <alignment horizontal="right"/>
    </xf>
    <xf numFmtId="0" fontId="11" fillId="36" borderId="1" xfId="76" applyNumberFormat="1" applyFont="1" applyFill="1" applyAlignment="1">
      <alignment horizontal="left" wrapText="1"/>
    </xf>
    <xf numFmtId="49" fontId="10" fillId="36" borderId="1" xfId="76" applyNumberFormat="1" applyFont="1" applyFill="1" applyAlignment="1">
      <alignment horizontal="left"/>
    </xf>
    <xf numFmtId="2" fontId="10" fillId="36" borderId="1" xfId="76" applyNumberFormat="1" applyFont="1" applyFill="1" applyAlignment="1">
      <alignment horizontal="right"/>
    </xf>
    <xf numFmtId="0" fontId="0" fillId="36" borderId="1" xfId="76" applyNumberFormat="1" applyFont="1" applyFill="1" applyAlignment="1">
      <alignment horizontal="left"/>
    </xf>
    <xf numFmtId="0" fontId="10" fillId="36" borderId="1" xfId="76" applyNumberFormat="1" applyFont="1" applyFill="1" applyAlignment="1"/>
    <xf numFmtId="0" fontId="11" fillId="36" borderId="1" xfId="76" applyNumberFormat="1" applyFont="1" applyFill="1" applyAlignment="1">
      <alignment horizontal="right" wrapText="1"/>
    </xf>
    <xf numFmtId="49" fontId="10" fillId="36" borderId="34" xfId="77" applyNumberFormat="1" applyFont="1" applyFill="1" applyBorder="1" applyAlignment="1">
      <alignment horizontal="left"/>
    </xf>
    <xf numFmtId="1" fontId="10" fillId="36" borderId="34" xfId="77" applyNumberFormat="1" applyFont="1" applyFill="1" applyBorder="1" applyAlignment="1">
      <alignment horizontal="right"/>
    </xf>
    <xf numFmtId="49" fontId="0" fillId="36" borderId="34" xfId="80" applyNumberFormat="1" applyFont="1" applyFill="1" applyAlignment="1">
      <alignment horizontal="left"/>
    </xf>
    <xf numFmtId="2" fontId="11" fillId="36" borderId="34" xfId="80" applyNumberFormat="1" applyFont="1" applyFill="1" applyAlignment="1">
      <alignment horizontal="right"/>
    </xf>
    <xf numFmtId="3" fontId="11" fillId="36" borderId="1" xfId="76" applyNumberFormat="1" applyFont="1" applyFill="1" applyAlignment="1">
      <alignment horizontal="right"/>
    </xf>
    <xf numFmtId="0" fontId="10" fillId="36" borderId="34" xfId="77" applyNumberFormat="1" applyFont="1" applyFill="1" applyBorder="1" applyAlignment="1"/>
    <xf numFmtId="49" fontId="11" fillId="36" borderId="34" xfId="73" applyNumberFormat="1" applyFont="1" applyFill="1" applyAlignment="1">
      <alignment horizontal="right" wrapText="1"/>
    </xf>
    <xf numFmtId="0" fontId="11" fillId="36" borderId="0" xfId="71" applyNumberFormat="1" applyFont="1" applyFill="1" applyBorder="1" applyAlignment="1">
      <alignment horizontal="left"/>
    </xf>
    <xf numFmtId="3" fontId="0" fillId="36" borderId="1" xfId="76" applyNumberFormat="1" applyFont="1" applyFill="1" applyAlignment="1">
      <alignment horizontal="right"/>
    </xf>
    <xf numFmtId="0" fontId="10" fillId="36" borderId="34" xfId="73" applyNumberFormat="1" applyFont="1" applyFill="1" applyAlignment="1"/>
    <xf numFmtId="0" fontId="10" fillId="36" borderId="34" xfId="73" applyNumberFormat="1" applyFont="1" applyFill="1" applyAlignment="1">
      <alignment horizontal="left"/>
    </xf>
    <xf numFmtId="0" fontId="10" fillId="36" borderId="34" xfId="73" applyNumberFormat="1" applyFont="1" applyFill="1" applyAlignment="1">
      <alignment horizontal="right"/>
    </xf>
    <xf numFmtId="0" fontId="11" fillId="36" borderId="34" xfId="73" applyNumberFormat="1" applyFont="1" applyFill="1" applyAlignment="1">
      <alignment horizontal="left" wrapText="1"/>
    </xf>
    <xf numFmtId="0" fontId="10" fillId="36" borderId="34" xfId="73" applyNumberFormat="1" applyFont="1" applyFill="1" applyAlignment="1">
      <alignment wrapText="1"/>
    </xf>
    <xf numFmtId="0" fontId="11" fillId="36" borderId="34" xfId="73" applyNumberFormat="1" applyFont="1" applyFill="1" applyAlignment="1">
      <alignment horizontal="right" wrapText="1"/>
    </xf>
    <xf numFmtId="0" fontId="10" fillId="36" borderId="34" xfId="80" applyNumberFormat="1" applyFont="1" applyFill="1" applyAlignment="1">
      <alignment wrapText="1"/>
    </xf>
    <xf numFmtId="0" fontId="10" fillId="36" borderId="34" xfId="77" applyNumberFormat="1" applyFont="1" applyFill="1" applyBorder="1" applyAlignment="1">
      <alignment wrapText="1"/>
    </xf>
    <xf numFmtId="0" fontId="29" fillId="36" borderId="1" xfId="76" applyNumberFormat="1" applyFont="1" applyFill="1" applyAlignment="1">
      <alignment horizontal="left"/>
    </xf>
    <xf numFmtId="0" fontId="29" fillId="36" borderId="1" xfId="76" applyNumberFormat="1" applyFont="1" applyFill="1" applyAlignment="1">
      <alignment horizontal="right"/>
    </xf>
    <xf numFmtId="3" fontId="11" fillId="36" borderId="34" xfId="77" applyNumberFormat="1" applyFont="1" applyFill="1" applyBorder="1" applyAlignment="1">
      <alignment horizontal="right"/>
    </xf>
    <xf numFmtId="0" fontId="0" fillId="36" borderId="34" xfId="77" applyNumberFormat="1" applyFont="1" applyFill="1" applyBorder="1" applyAlignment="1"/>
    <xf numFmtId="0" fontId="0" fillId="36" borderId="34" xfId="73" applyNumberFormat="1" applyFont="1" applyFill="1" applyAlignment="1"/>
    <xf numFmtId="1" fontId="11" fillId="36" borderId="34" xfId="73" applyNumberFormat="1" applyFont="1" applyFill="1" applyAlignment="1">
      <alignment horizontal="right" wrapText="1"/>
    </xf>
    <xf numFmtId="0" fontId="11" fillId="0" borderId="34" xfId="73" applyNumberFormat="1" applyFont="1" applyFill="1" applyAlignment="1">
      <alignment horizontal="right"/>
    </xf>
    <xf numFmtId="0" fontId="11" fillId="0" borderId="1" xfId="76" applyNumberFormat="1" applyFont="1" applyFill="1" applyAlignment="1">
      <alignment horizontal="right"/>
    </xf>
    <xf numFmtId="0" fontId="11" fillId="0" borderId="34" xfId="80" applyNumberFormat="1" applyFont="1" applyFill="1" applyAlignment="1">
      <alignment horizontal="right"/>
    </xf>
    <xf numFmtId="0" fontId="11" fillId="36" borderId="34" xfId="80" applyNumberFormat="1" applyFont="1" applyFill="1" applyAlignment="1">
      <alignment horizontal="right"/>
    </xf>
    <xf numFmtId="0" fontId="11" fillId="0" borderId="34" xfId="77" applyNumberFormat="1" applyFont="1" applyFill="1" applyBorder="1" applyAlignment="1">
      <alignment horizontal="right"/>
    </xf>
    <xf numFmtId="164" fontId="11" fillId="36" borderId="34" xfId="80" applyNumberFormat="1" applyFont="1" applyFill="1" applyAlignment="1">
      <alignment horizontal="right"/>
    </xf>
    <xf numFmtId="164" fontId="10" fillId="36" borderId="34" xfId="80" applyNumberFormat="1" applyFont="1" applyFill="1" applyAlignment="1">
      <alignment horizontal="right"/>
    </xf>
    <xf numFmtId="164" fontId="11" fillId="36" borderId="1" xfId="76" applyNumberFormat="1" applyFont="1" applyFill="1" applyAlignment="1">
      <alignment horizontal="right"/>
    </xf>
    <xf numFmtId="164" fontId="11" fillId="36" borderId="34" xfId="77" applyNumberFormat="1" applyFont="1" applyFill="1" applyBorder="1" applyAlignment="1">
      <alignment horizontal="right"/>
    </xf>
    <xf numFmtId="164" fontId="10" fillId="36" borderId="34" xfId="77" applyNumberFormat="1" applyFont="1" applyFill="1" applyBorder="1" applyAlignment="1">
      <alignment horizontal="right"/>
    </xf>
    <xf numFmtId="167" fontId="10" fillId="36" borderId="1" xfId="76" applyNumberFormat="1" applyFont="1" applyFill="1" applyAlignment="1" applyProtection="1">
      <alignment horizontal="right"/>
    </xf>
    <xf numFmtId="167" fontId="10" fillId="36" borderId="1" xfId="76" applyNumberFormat="1" applyFont="1" applyFill="1" applyAlignment="1">
      <alignment horizontal="right"/>
    </xf>
    <xf numFmtId="0" fontId="10" fillId="36" borderId="34" xfId="73" applyNumberFormat="1" applyFont="1" applyFill="1" applyAlignment="1">
      <alignment horizontal="left" wrapText="1"/>
    </xf>
    <xf numFmtId="165" fontId="10" fillId="36" borderId="1" xfId="76" applyNumberFormat="1" applyFont="1" applyFill="1" applyAlignment="1">
      <alignment horizontal="right"/>
    </xf>
    <xf numFmtId="0" fontId="10" fillId="36" borderId="34" xfId="73" applyNumberFormat="1" applyFont="1" applyFill="1" applyAlignment="1">
      <alignment horizontal="right" wrapText="1"/>
    </xf>
    <xf numFmtId="0" fontId="0" fillId="36" borderId="1" xfId="76" applyNumberFormat="1" applyFont="1" applyFill="1" applyAlignment="1">
      <alignment horizontal="left" wrapText="1"/>
    </xf>
    <xf numFmtId="0" fontId="10" fillId="36" borderId="1" xfId="76" applyNumberFormat="1" applyFont="1" applyFill="1" applyAlignment="1">
      <alignment horizontal="left"/>
    </xf>
    <xf numFmtId="0" fontId="11" fillId="36" borderId="0" xfId="75" applyNumberFormat="1" applyFont="1" applyFill="1" applyBorder="1" applyAlignment="1">
      <alignment horizontal="right" wrapText="1"/>
    </xf>
    <xf numFmtId="0" fontId="11" fillId="36" borderId="34" xfId="73" applyNumberFormat="1" applyFont="1" applyFill="1" applyAlignment="1">
      <alignment horizontal="left"/>
    </xf>
    <xf numFmtId="0" fontId="10" fillId="36" borderId="0" xfId="71" applyNumberFormat="1" applyFont="1" applyFill="1" applyBorder="1" applyAlignment="1">
      <alignment horizontal="left"/>
    </xf>
    <xf numFmtId="0" fontId="10" fillId="36" borderId="0" xfId="75" applyNumberFormat="1" applyFont="1" applyFill="1" applyAlignment="1">
      <alignment horizontal="left"/>
    </xf>
    <xf numFmtId="3" fontId="11" fillId="0" borderId="34" xfId="77" applyNumberFormat="1" applyFont="1" applyFill="1" applyBorder="1" applyAlignment="1">
      <alignment horizontal="right"/>
    </xf>
    <xf numFmtId="3" fontId="11" fillId="0" borderId="34" xfId="80" applyNumberFormat="1" applyFont="1" applyFill="1" applyAlignment="1">
      <alignment horizontal="right"/>
    </xf>
    <xf numFmtId="0" fontId="50" fillId="36" borderId="0" xfId="71" applyNumberFormat="1" applyFont="1" applyFill="1" applyAlignment="1">
      <alignment horizontal="left"/>
    </xf>
    <xf numFmtId="49" fontId="40" fillId="36" borderId="0" xfId="68" applyNumberFormat="1" applyFont="1" applyFill="1" applyBorder="1" applyAlignment="1">
      <alignment horizontal="left"/>
    </xf>
    <xf numFmtId="1" fontId="11" fillId="38" borderId="2" xfId="73" applyNumberFormat="1" applyFont="1" applyFill="1" applyBorder="1" applyAlignment="1">
      <alignment horizontal="right"/>
    </xf>
    <xf numFmtId="164" fontId="10" fillId="38" borderId="1" xfId="76" applyNumberFormat="1" applyFont="1" applyFill="1" applyAlignment="1">
      <alignment horizontal="right"/>
    </xf>
    <xf numFmtId="3" fontId="10" fillId="38" borderId="32" xfId="76" applyNumberFormat="1" applyFont="1" applyFill="1" applyBorder="1" applyAlignment="1">
      <alignment horizontal="right"/>
    </xf>
    <xf numFmtId="1" fontId="11" fillId="38" borderId="34" xfId="73" quotePrefix="1" applyNumberFormat="1" applyFont="1" applyFill="1" applyAlignment="1">
      <alignment horizontal="right"/>
    </xf>
    <xf numFmtId="3" fontId="11" fillId="38" borderId="27" xfId="76" applyNumberFormat="1" applyFont="1" applyFill="1" applyBorder="1" applyAlignment="1">
      <alignment horizontal="right"/>
    </xf>
    <xf numFmtId="3" fontId="11" fillId="38" borderId="0" xfId="76" applyNumberFormat="1" applyFont="1" applyFill="1" applyBorder="1" applyAlignment="1">
      <alignment horizontal="right"/>
    </xf>
    <xf numFmtId="3" fontId="11" fillId="38" borderId="1" xfId="76" applyNumberFormat="1" applyFont="1" applyFill="1" applyBorder="1" applyAlignment="1">
      <alignment horizontal="right"/>
    </xf>
    <xf numFmtId="3" fontId="11" fillId="38" borderId="34" xfId="77" applyNumberFormat="1" applyFont="1" applyFill="1" applyBorder="1" applyAlignment="1">
      <alignment horizontal="right"/>
    </xf>
    <xf numFmtId="3" fontId="11" fillId="38" borderId="34" xfId="80" applyNumberFormat="1" applyFont="1" applyFill="1" applyAlignment="1">
      <alignment horizontal="right"/>
    </xf>
    <xf numFmtId="1" fontId="11" fillId="38" borderId="2" xfId="73" quotePrefix="1" applyNumberFormat="1" applyFont="1" applyFill="1" applyBorder="1" applyAlignment="1">
      <alignment horizontal="right"/>
    </xf>
    <xf numFmtId="0" fontId="11" fillId="38" borderId="1" xfId="76" applyNumberFormat="1" applyFont="1" applyFill="1" applyAlignment="1">
      <alignment horizontal="left"/>
    </xf>
    <xf numFmtId="3" fontId="11" fillId="38" borderId="1" xfId="76" applyNumberFormat="1" applyFont="1" applyFill="1" applyAlignment="1">
      <alignment horizontal="right"/>
    </xf>
    <xf numFmtId="3" fontId="11" fillId="38" borderId="32" xfId="76" applyNumberFormat="1" applyFont="1" applyFill="1" applyBorder="1" applyAlignment="1">
      <alignment horizontal="right"/>
    </xf>
    <xf numFmtId="49" fontId="11" fillId="38" borderId="2" xfId="73" applyNumberFormat="1" applyFont="1" applyFill="1" applyBorder="1" applyAlignment="1">
      <alignment horizontal="right" wrapText="1"/>
    </xf>
    <xf numFmtId="0" fontId="11" fillId="38" borderId="1" xfId="76" applyNumberFormat="1" applyFont="1" applyFill="1" applyAlignment="1">
      <alignment horizontal="right"/>
    </xf>
    <xf numFmtId="49" fontId="54" fillId="38" borderId="34" xfId="73" applyNumberFormat="1" applyFont="1" applyFill="1" applyAlignment="1">
      <alignment horizontal="right" wrapText="1"/>
    </xf>
    <xf numFmtId="3" fontId="11" fillId="38" borderId="31" xfId="76" applyNumberFormat="1" applyFont="1" applyFill="1" applyBorder="1" applyAlignment="1">
      <alignment horizontal="right"/>
    </xf>
    <xf numFmtId="0" fontId="45" fillId="38" borderId="0" xfId="64" applyNumberFormat="1" applyFont="1" applyFill="1" applyBorder="1" applyAlignment="1">
      <alignment horizontal="right"/>
    </xf>
    <xf numFmtId="1" fontId="11" fillId="38" borderId="0" xfId="75" applyNumberFormat="1" applyFont="1" applyFill="1" applyBorder="1" applyAlignment="1">
      <alignment horizontal="right"/>
    </xf>
    <xf numFmtId="0" fontId="11" fillId="38" borderId="30" xfId="73" applyNumberFormat="1" applyFont="1" applyFill="1" applyBorder="1" applyAlignment="1">
      <alignment horizontal="right" wrapText="1"/>
    </xf>
    <xf numFmtId="3" fontId="11" fillId="38" borderId="30" xfId="77" applyNumberFormat="1" applyFont="1" applyFill="1" applyBorder="1" applyAlignment="1">
      <alignment horizontal="right"/>
    </xf>
    <xf numFmtId="1" fontId="11" fillId="38" borderId="30" xfId="73" applyNumberFormat="1" applyFont="1" applyFill="1" applyBorder="1" applyAlignment="1">
      <alignment horizontal="right"/>
    </xf>
    <xf numFmtId="1" fontId="11" fillId="38" borderId="30" xfId="73" quotePrefix="1" applyNumberFormat="1" applyFont="1" applyFill="1" applyBorder="1" applyAlignment="1">
      <alignment horizontal="right"/>
    </xf>
    <xf numFmtId="3" fontId="11" fillId="38" borderId="30" xfId="77" quotePrefix="1" applyNumberFormat="1" applyFont="1" applyFill="1" applyBorder="1" applyAlignment="1">
      <alignment horizontal="right"/>
    </xf>
    <xf numFmtId="3" fontId="6" fillId="38" borderId="1" xfId="76" applyNumberFormat="1" applyFont="1" applyFill="1" applyBorder="1" applyAlignment="1">
      <alignment horizontal="right"/>
    </xf>
    <xf numFmtId="3" fontId="6" fillId="38" borderId="30" xfId="77" applyNumberFormat="1" applyFont="1" applyFill="1" applyBorder="1" applyAlignment="1">
      <alignment horizontal="right"/>
    </xf>
    <xf numFmtId="3" fontId="10" fillId="38" borderId="1" xfId="76" applyNumberFormat="1" applyFont="1" applyFill="1" applyBorder="1" applyAlignment="1"/>
    <xf numFmtId="0" fontId="10" fillId="38" borderId="1" xfId="76" applyFont="1" applyFill="1" applyBorder="1" applyAlignment="1">
      <alignment horizontal="right"/>
    </xf>
    <xf numFmtId="165" fontId="11" fillId="38" borderId="1" xfId="76" applyNumberFormat="1" applyFont="1" applyFill="1" applyBorder="1" applyAlignment="1">
      <alignment horizontal="right"/>
    </xf>
    <xf numFmtId="1" fontId="11" fillId="38" borderId="34" xfId="73" applyNumberFormat="1" applyFont="1" applyFill="1" applyAlignment="1">
      <alignment horizontal="right"/>
    </xf>
    <xf numFmtId="3" fontId="11" fillId="38" borderId="1" xfId="76" applyNumberFormat="1" applyFont="1" applyFill="1" applyAlignment="1">
      <alignment horizontal="right" wrapText="1"/>
    </xf>
    <xf numFmtId="3" fontId="11" fillId="38" borderId="34" xfId="77" applyNumberFormat="1" applyFont="1" applyFill="1" applyBorder="1" applyAlignment="1">
      <alignment horizontal="right" wrapText="1"/>
    </xf>
    <xf numFmtId="49" fontId="54" fillId="38" borderId="30" xfId="73" applyNumberFormat="1" applyFont="1" applyFill="1" applyBorder="1" applyAlignment="1">
      <alignment horizontal="right" wrapText="1"/>
    </xf>
    <xf numFmtId="0" fontId="11" fillId="38" borderId="34" xfId="77" applyNumberFormat="1" applyFont="1" applyFill="1" applyBorder="1" applyAlignment="1">
      <alignment horizontal="right"/>
    </xf>
    <xf numFmtId="49" fontId="11" fillId="38" borderId="30" xfId="73" applyNumberFormat="1" applyFont="1" applyFill="1" applyBorder="1" applyAlignment="1">
      <alignment horizontal="right" wrapText="1"/>
    </xf>
    <xf numFmtId="0" fontId="11" fillId="38" borderId="1" xfId="76" applyNumberFormat="1" applyFont="1" applyFill="1" applyAlignment="1">
      <alignment horizontal="right" wrapText="1"/>
    </xf>
    <xf numFmtId="0" fontId="10" fillId="38" borderId="1" xfId="76" applyNumberFormat="1" applyFont="1" applyFill="1" applyAlignment="1">
      <alignment horizontal="right"/>
    </xf>
    <xf numFmtId="3" fontId="11" fillId="38" borderId="1" xfId="76" applyNumberFormat="1" applyFont="1" applyFill="1" applyAlignment="1"/>
    <xf numFmtId="3" fontId="11" fillId="38" borderId="34" xfId="80" applyNumberFormat="1" applyFont="1" applyFill="1" applyAlignment="1"/>
    <xf numFmtId="0" fontId="11" fillId="38" borderId="0" xfId="75" applyNumberFormat="1" applyFont="1" applyFill="1" applyBorder="1" applyAlignment="1">
      <alignment horizontal="right" wrapText="1"/>
    </xf>
    <xf numFmtId="49" fontId="11" fillId="38" borderId="34" xfId="73" applyNumberFormat="1" applyFont="1" applyFill="1" applyAlignment="1">
      <alignment horizontal="right" wrapText="1"/>
    </xf>
    <xf numFmtId="49" fontId="11" fillId="38" borderId="1" xfId="76" applyNumberFormat="1" applyFont="1" applyFill="1" applyAlignment="1">
      <alignment horizontal="left"/>
    </xf>
    <xf numFmtId="3" fontId="14" fillId="38" borderId="1" xfId="76" applyNumberFormat="1" applyFont="1" applyFill="1" applyAlignment="1">
      <alignment horizontal="right"/>
    </xf>
    <xf numFmtId="2" fontId="11" fillId="38" borderId="1" xfId="76" applyNumberFormat="1" applyFont="1" applyFill="1" applyAlignment="1">
      <alignment horizontal="right"/>
    </xf>
    <xf numFmtId="49" fontId="11" fillId="38" borderId="34" xfId="73" applyNumberFormat="1" applyFont="1" applyFill="1" applyBorder="1" applyAlignment="1">
      <alignment horizontal="right" wrapText="1"/>
    </xf>
    <xf numFmtId="0" fontId="29" fillId="38" borderId="1" xfId="76" applyNumberFormat="1" applyFont="1" applyFill="1" applyAlignment="1">
      <alignment horizontal="right"/>
    </xf>
    <xf numFmtId="49" fontId="11" fillId="38" borderId="34" xfId="73" applyNumberFormat="1" applyFont="1" applyFill="1" applyBorder="1" applyAlignment="1">
      <alignment horizontal="right"/>
    </xf>
    <xf numFmtId="1" fontId="11" fillId="38" borderId="34" xfId="73" applyNumberFormat="1" applyFont="1" applyFill="1" applyBorder="1" applyAlignment="1">
      <alignment horizontal="right"/>
    </xf>
    <xf numFmtId="1" fontId="11" fillId="38" borderId="34" xfId="73" applyNumberFormat="1" applyFont="1" applyFill="1" applyBorder="1" applyAlignment="1">
      <alignment horizontal="right" wrapText="1"/>
    </xf>
    <xf numFmtId="0" fontId="0" fillId="38" borderId="1" xfId="76" applyNumberFormat="1" applyFont="1" applyFill="1" applyAlignment="1"/>
    <xf numFmtId="0" fontId="0" fillId="38" borderId="34" xfId="77" applyNumberFormat="1" applyFont="1" applyFill="1" applyBorder="1" applyAlignment="1"/>
    <xf numFmtId="0" fontId="0" fillId="38" borderId="34" xfId="80" applyNumberFormat="1" applyFont="1" applyFill="1" applyAlignment="1"/>
    <xf numFmtId="1" fontId="11" fillId="38" borderId="34" xfId="73" applyNumberFormat="1" applyFont="1" applyFill="1" applyAlignment="1">
      <alignment horizontal="right" wrapText="1"/>
    </xf>
    <xf numFmtId="49" fontId="11" fillId="38" borderId="0" xfId="75" applyNumberFormat="1" applyFont="1" applyFill="1" applyBorder="1" applyAlignment="1">
      <alignment horizontal="right"/>
    </xf>
    <xf numFmtId="164" fontId="11" fillId="38" borderId="1" xfId="76" applyNumberFormat="1" applyFont="1" applyFill="1" applyAlignment="1">
      <alignment horizontal="right"/>
    </xf>
    <xf numFmtId="164" fontId="11" fillId="38" borderId="34" xfId="77" applyNumberFormat="1" applyFont="1" applyFill="1" applyBorder="1" applyAlignment="1">
      <alignment horizontal="right"/>
    </xf>
    <xf numFmtId="164" fontId="10" fillId="38" borderId="34" xfId="77" applyNumberFormat="1" applyFont="1" applyFill="1" applyBorder="1" applyAlignment="1">
      <alignment horizontal="right"/>
    </xf>
    <xf numFmtId="164" fontId="11" fillId="38" borderId="34" xfId="80" applyNumberFormat="1" applyFont="1" applyFill="1" applyAlignment="1">
      <alignment horizontal="right"/>
    </xf>
    <xf numFmtId="164" fontId="10" fillId="38" borderId="34" xfId="80" applyNumberFormat="1" applyFont="1" applyFill="1" applyAlignment="1">
      <alignment horizontal="right"/>
    </xf>
    <xf numFmtId="167" fontId="11" fillId="38" borderId="1" xfId="76" applyNumberFormat="1" applyFont="1" applyFill="1" applyAlignment="1">
      <alignment horizontal="right"/>
    </xf>
    <xf numFmtId="0" fontId="0" fillId="38" borderId="0" xfId="75" applyNumberFormat="1" applyFont="1" applyFill="1" applyAlignment="1"/>
    <xf numFmtId="49" fontId="10" fillId="38" borderId="1" xfId="76" applyNumberFormat="1" applyFont="1" applyFill="1" applyAlignment="1">
      <alignment horizontal="left" wrapText="1"/>
    </xf>
    <xf numFmtId="165" fontId="11" fillId="38" borderId="1" xfId="76" applyNumberFormat="1" applyFont="1" applyFill="1" applyAlignment="1">
      <alignment horizontal="right"/>
    </xf>
    <xf numFmtId="49" fontId="10" fillId="36" borderId="0" xfId="0" applyNumberFormat="1" applyFont="1" applyFill="1" applyAlignment="1">
      <alignment horizontal="left" vertical="top"/>
    </xf>
    <xf numFmtId="49" fontId="10" fillId="36" borderId="0" xfId="0" applyNumberFormat="1" applyFont="1" applyFill="1" applyAlignment="1">
      <alignment horizontal="right" vertical="top"/>
    </xf>
    <xf numFmtId="49" fontId="10" fillId="36" borderId="0" xfId="63" applyNumberFormat="1" applyFont="1" applyFill="1" applyBorder="1" applyAlignment="1">
      <alignment horizontal="right" vertical="top"/>
    </xf>
    <xf numFmtId="49" fontId="0" fillId="36" borderId="0" xfId="0" applyNumberFormat="1" applyFill="1" applyAlignment="1">
      <alignment vertical="top"/>
    </xf>
    <xf numFmtId="49" fontId="0" fillId="36" borderId="0" xfId="78" applyNumberFormat="1" applyFont="1" applyFill="1" applyAlignment="1">
      <alignment vertical="top"/>
    </xf>
    <xf numFmtId="49" fontId="0" fillId="0" borderId="0" xfId="0" applyNumberFormat="1" applyFill="1" applyAlignment="1">
      <alignment vertical="top"/>
    </xf>
    <xf numFmtId="49" fontId="11" fillId="36" borderId="1" xfId="76" applyNumberFormat="1" applyFont="1" applyFill="1" applyAlignment="1">
      <alignment horizontal="left"/>
    </xf>
    <xf numFmtId="0" fontId="0" fillId="36" borderId="0" xfId="83" applyNumberFormat="1" applyFont="1" applyFill="1"/>
    <xf numFmtId="0" fontId="40" fillId="36" borderId="0" xfId="83" applyNumberFormat="1" applyFont="1" applyFill="1" applyAlignment="1">
      <alignment horizontal="left"/>
    </xf>
    <xf numFmtId="0" fontId="10" fillId="36" borderId="0" xfId="83" applyNumberFormat="1" applyFont="1" applyFill="1" applyAlignment="1">
      <alignment horizontal="left"/>
    </xf>
    <xf numFmtId="49" fontId="11" fillId="36" borderId="0" xfId="71" applyNumberFormat="1" applyFont="1" applyFill="1" applyBorder="1" applyAlignment="1">
      <alignment horizontal="left"/>
    </xf>
    <xf numFmtId="49" fontId="10" fillId="36" borderId="0" xfId="71" applyNumberFormat="1" applyFont="1" applyFill="1" applyAlignment="1">
      <alignment horizontal="left"/>
    </xf>
    <xf numFmtId="0" fontId="11" fillId="36" borderId="0" xfId="71" applyNumberFormat="1" applyFont="1" applyFill="1" applyAlignment="1">
      <alignment horizontal="left" wrapText="1"/>
    </xf>
    <xf numFmtId="49" fontId="0" fillId="36" borderId="0" xfId="0" applyNumberFormat="1" applyFill="1" applyAlignment="1"/>
    <xf numFmtId="49" fontId="0" fillId="36" borderId="0" xfId="0" applyNumberFormat="1" applyFill="1" applyAlignment="1">
      <alignment horizontal="left" indent="1"/>
    </xf>
    <xf numFmtId="4" fontId="11" fillId="38" borderId="27" xfId="76" applyNumberFormat="1" applyFont="1" applyFill="1" applyBorder="1" applyAlignment="1">
      <alignment horizontal="right"/>
    </xf>
    <xf numFmtId="4" fontId="11" fillId="38" borderId="1" xfId="76" applyNumberFormat="1" applyFont="1" applyFill="1" applyBorder="1" applyAlignment="1">
      <alignment horizontal="right"/>
    </xf>
    <xf numFmtId="4" fontId="10" fillId="36" borderId="1" xfId="76" applyNumberFormat="1" applyFont="1" applyFill="1" applyBorder="1" applyAlignment="1">
      <alignment horizontal="right"/>
    </xf>
    <xf numFmtId="49" fontId="0" fillId="36" borderId="0" xfId="67" applyNumberFormat="1" applyFont="1" applyFill="1" applyBorder="1" applyAlignment="1">
      <alignment vertical="top"/>
    </xf>
    <xf numFmtId="49" fontId="11" fillId="36" borderId="34" xfId="73" applyNumberFormat="1" applyFont="1" applyFill="1" applyAlignment="1">
      <alignment wrapText="1"/>
    </xf>
    <xf numFmtId="49" fontId="10" fillId="36" borderId="1" xfId="76" applyNumberFormat="1" applyFont="1" applyFill="1" applyAlignment="1"/>
    <xf numFmtId="0" fontId="36" fillId="36" borderId="0" xfId="66" applyNumberFormat="1" applyFont="1" applyFill="1" applyBorder="1" applyAlignment="1">
      <alignment horizontal="right"/>
    </xf>
    <xf numFmtId="3" fontId="13" fillId="36" borderId="1" xfId="76" applyNumberFormat="1" applyFont="1" applyFill="1" applyAlignment="1" applyProtection="1">
      <alignment horizontal="right"/>
    </xf>
    <xf numFmtId="0" fontId="6" fillId="36" borderId="1" xfId="76" applyFont="1" applyFill="1" applyAlignment="1"/>
    <xf numFmtId="0" fontId="13" fillId="36" borderId="1" xfId="76" applyNumberFormat="1" applyFont="1" applyFill="1" applyAlignment="1" applyProtection="1">
      <alignment horizontal="right"/>
    </xf>
    <xf numFmtId="3" fontId="56" fillId="36" borderId="1" xfId="76" applyNumberFormat="1" applyFont="1" applyFill="1" applyAlignment="1" applyProtection="1">
      <alignment horizontal="right"/>
    </xf>
    <xf numFmtId="3" fontId="11" fillId="36" borderId="1" xfId="76" applyNumberFormat="1" applyFont="1" applyFill="1" applyAlignment="1">
      <alignment horizontal="right" wrapText="1"/>
    </xf>
    <xf numFmtId="49" fontId="11" fillId="36" borderId="27" xfId="76" applyNumberFormat="1" applyFont="1" applyFill="1" applyBorder="1" applyAlignment="1"/>
    <xf numFmtId="49" fontId="11" fillId="38" borderId="1" xfId="76" applyNumberFormat="1" applyFont="1" applyFill="1" applyAlignment="1">
      <alignment horizontal="right"/>
    </xf>
    <xf numFmtId="49" fontId="11" fillId="36" borderId="0" xfId="3" applyNumberFormat="1" applyFont="1" applyFill="1" applyBorder="1" applyAlignment="1">
      <alignment horizontal="left"/>
    </xf>
    <xf numFmtId="3" fontId="10" fillId="0" borderId="26" xfId="76" applyNumberFormat="1" applyFont="1" applyFill="1" applyBorder="1" applyAlignment="1">
      <alignment horizontal="right"/>
    </xf>
    <xf numFmtId="3" fontId="10" fillId="0" borderId="16" xfId="77" applyNumberFormat="1" applyFont="1" applyFill="1" applyBorder="1" applyAlignment="1">
      <alignment horizontal="right"/>
    </xf>
    <xf numFmtId="3" fontId="10" fillId="0" borderId="1" xfId="76" applyNumberFormat="1" applyFont="1" applyFill="1" applyBorder="1" applyAlignment="1">
      <alignment horizontal="right"/>
    </xf>
    <xf numFmtId="3" fontId="10" fillId="0" borderId="30" xfId="77" applyNumberFormat="1" applyFont="1" applyFill="1" applyBorder="1" applyAlignment="1">
      <alignment horizontal="right"/>
    </xf>
    <xf numFmtId="0" fontId="54" fillId="38" borderId="30" xfId="73" applyNumberFormat="1" applyFont="1" applyFill="1" applyBorder="1" applyAlignment="1">
      <alignment horizontal="right" wrapText="1"/>
    </xf>
    <xf numFmtId="0" fontId="54" fillId="36" borderId="30" xfId="73" applyNumberFormat="1" applyFont="1" applyFill="1" applyBorder="1" applyAlignment="1">
      <alignment horizontal="right" wrapText="1"/>
    </xf>
    <xf numFmtId="49" fontId="10" fillId="36" borderId="27" xfId="76" applyNumberFormat="1" applyFont="1" applyFill="1" applyBorder="1" applyAlignment="1">
      <alignment horizontal="left"/>
    </xf>
    <xf numFmtId="49" fontId="11" fillId="36" borderId="34" xfId="80" applyNumberFormat="1" applyFont="1" applyFill="1" applyAlignment="1">
      <alignment horizontal="left"/>
    </xf>
    <xf numFmtId="49" fontId="11" fillId="36" borderId="34" xfId="73" applyNumberFormat="1" applyFont="1" applyFill="1" applyAlignment="1">
      <alignment horizontal="left"/>
    </xf>
    <xf numFmtId="0" fontId="10" fillId="36" borderId="0" xfId="3" applyNumberFormat="1" applyFont="1" applyFill="1" applyAlignment="1">
      <alignment horizontal="left" wrapText="1"/>
    </xf>
    <xf numFmtId="0" fontId="10" fillId="36" borderId="0" xfId="0" applyNumberFormat="1" applyFont="1" applyFill="1" applyAlignment="1">
      <alignment horizontal="left" wrapText="1"/>
    </xf>
    <xf numFmtId="49" fontId="11" fillId="36" borderId="1" xfId="76" applyNumberFormat="1" applyFont="1" applyFill="1" applyAlignment="1">
      <alignment horizontal="left"/>
    </xf>
    <xf numFmtId="49" fontId="10" fillId="36" borderId="1" xfId="76" applyNumberFormat="1" applyFont="1" applyFill="1" applyAlignment="1">
      <alignment horizontal="left"/>
    </xf>
    <xf numFmtId="49" fontId="10" fillId="36" borderId="34" xfId="77" applyNumberFormat="1" applyFont="1" applyFill="1" applyBorder="1" applyAlignment="1">
      <alignment horizontal="left"/>
    </xf>
    <xf numFmtId="49" fontId="10" fillId="36" borderId="0" xfId="3" applyNumberFormat="1" applyFont="1" applyFill="1" applyAlignment="1">
      <alignment horizontal="right" wrapText="1"/>
    </xf>
    <xf numFmtId="49" fontId="10" fillId="36" borderId="0" xfId="0" applyNumberFormat="1" applyFont="1" applyFill="1" applyAlignment="1">
      <alignment horizontal="right" wrapText="1"/>
    </xf>
    <xf numFmtId="49" fontId="11" fillId="36" borderId="34" xfId="73" applyNumberFormat="1" applyFont="1" applyFill="1" applyAlignment="1">
      <alignment horizontal="right"/>
    </xf>
    <xf numFmtId="0" fontId="10" fillId="36" borderId="26" xfId="3" applyFont="1" applyFill="1" applyBorder="1"/>
    <xf numFmtId="0" fontId="10" fillId="36" borderId="26" xfId="71" applyFont="1" applyFill="1" applyBorder="1" applyAlignment="1"/>
    <xf numFmtId="3" fontId="11" fillId="38" borderId="1" xfId="76" quotePrefix="1" applyNumberFormat="1" applyFont="1" applyFill="1" applyAlignment="1">
      <alignment horizontal="right"/>
    </xf>
    <xf numFmtId="0" fontId="0" fillId="36" borderId="0" xfId="0" applyFill="1"/>
    <xf numFmtId="0" fontId="0" fillId="36" borderId="0" xfId="0" applyFill="1"/>
    <xf numFmtId="0" fontId="10" fillId="36" borderId="1" xfId="76" applyNumberFormat="1" applyFont="1" applyFill="1" applyAlignment="1">
      <alignment horizontal="left"/>
    </xf>
    <xf numFmtId="0" fontId="10" fillId="36" borderId="0" xfId="3" applyNumberFormat="1" applyFont="1" applyFill="1" applyBorder="1" applyAlignment="1">
      <alignment horizontal="left" wrapText="1"/>
    </xf>
    <xf numFmtId="0" fontId="10" fillId="36" borderId="0" xfId="0" applyNumberFormat="1" applyFont="1" applyFill="1" applyAlignment="1">
      <alignment horizontal="left"/>
    </xf>
    <xf numFmtId="0" fontId="0" fillId="36" borderId="0" xfId="0" applyFill="1"/>
    <xf numFmtId="0" fontId="48" fillId="36" borderId="0" xfId="71" applyFont="1" applyFill="1" applyAlignment="1"/>
    <xf numFmtId="0" fontId="0" fillId="36" borderId="0" xfId="66" applyFont="1" applyFill="1" applyBorder="1" applyAlignment="1"/>
    <xf numFmtId="49" fontId="11" fillId="36" borderId="34" xfId="80" applyNumberFormat="1" applyFont="1" applyFill="1" applyAlignment="1">
      <alignment horizontal="left"/>
    </xf>
    <xf numFmtId="0" fontId="0" fillId="36" borderId="0" xfId="0" applyFill="1"/>
    <xf numFmtId="0" fontId="10" fillId="36" borderId="1" xfId="76" applyNumberFormat="1" applyFont="1" applyFill="1" applyBorder="1" applyAlignment="1">
      <alignment horizontal="left"/>
    </xf>
    <xf numFmtId="49" fontId="10" fillId="0" borderId="27" xfId="76" applyNumberFormat="1" applyFont="1" applyFill="1" applyBorder="1" applyAlignment="1">
      <alignment horizontal="left"/>
    </xf>
    <xf numFmtId="49" fontId="10" fillId="0" borderId="30" xfId="77" applyNumberFormat="1" applyFont="1" applyFill="1" applyBorder="1" applyAlignment="1">
      <alignment horizontal="left"/>
    </xf>
    <xf numFmtId="0" fontId="0" fillId="36" borderId="0" xfId="0" applyFill="1"/>
    <xf numFmtId="49" fontId="11" fillId="36" borderId="34" xfId="80" applyNumberFormat="1" applyFont="1" applyFill="1" applyAlignment="1">
      <alignment horizontal="left"/>
    </xf>
    <xf numFmtId="49" fontId="11" fillId="36" borderId="34" xfId="73" applyNumberFormat="1" applyFont="1" applyFill="1" applyAlignment="1">
      <alignment horizontal="left"/>
    </xf>
    <xf numFmtId="49" fontId="11" fillId="36" borderId="1" xfId="76" applyNumberFormat="1" applyFont="1" applyFill="1" applyAlignment="1">
      <alignment horizontal="left"/>
    </xf>
    <xf numFmtId="49" fontId="10" fillId="36" borderId="1" xfId="76" applyNumberFormat="1" applyFont="1" applyFill="1" applyAlignment="1">
      <alignment horizontal="left"/>
    </xf>
    <xf numFmtId="49" fontId="10" fillId="36" borderId="34" xfId="77" applyNumberFormat="1" applyFont="1" applyFill="1" applyBorder="1" applyAlignment="1">
      <alignment horizontal="left"/>
    </xf>
    <xf numFmtId="0" fontId="10" fillId="36" borderId="0" xfId="3" applyNumberFormat="1" applyFont="1" applyFill="1" applyAlignment="1">
      <alignment horizontal="left" wrapText="1"/>
    </xf>
    <xf numFmtId="0" fontId="10" fillId="36" borderId="0" xfId="0" applyNumberFormat="1" applyFont="1" applyFill="1" applyAlignment="1">
      <alignment horizontal="left" wrapText="1"/>
    </xf>
    <xf numFmtId="49" fontId="10" fillId="36" borderId="0" xfId="0" applyNumberFormat="1" applyFont="1" applyFill="1" applyAlignment="1">
      <alignment horizontal="left"/>
    </xf>
    <xf numFmtId="164" fontId="40" fillId="36" borderId="0" xfId="0" applyNumberFormat="1" applyFont="1" applyFill="1" applyAlignment="1">
      <alignment horizontal="right"/>
    </xf>
    <xf numFmtId="164" fontId="10" fillId="36" borderId="0" xfId="0" applyNumberFormat="1" applyFont="1" applyFill="1" applyAlignment="1">
      <alignment horizontal="right"/>
    </xf>
    <xf numFmtId="0" fontId="0" fillId="36" borderId="0" xfId="0" applyFill="1"/>
    <xf numFmtId="49" fontId="10" fillId="36" borderId="0" xfId="0" applyNumberFormat="1" applyFont="1" applyFill="1" applyAlignment="1">
      <alignment horizontal="left"/>
    </xf>
    <xf numFmtId="49" fontId="11" fillId="38" borderId="1" xfId="76" quotePrefix="1" applyNumberFormat="1" applyFont="1" applyFill="1" applyAlignment="1">
      <alignment horizontal="right" wrapText="1"/>
    </xf>
    <xf numFmtId="49" fontId="11" fillId="36" borderId="1" xfId="76" quotePrefix="1" applyNumberFormat="1" applyFont="1" applyFill="1" applyAlignment="1">
      <alignment horizontal="right" wrapText="1"/>
    </xf>
    <xf numFmtId="0" fontId="42" fillId="36" borderId="1" xfId="76" applyNumberFormat="1" applyFont="1" applyFill="1" applyAlignment="1">
      <alignment horizontal="right"/>
    </xf>
    <xf numFmtId="0" fontId="43" fillId="38" borderId="1" xfId="76" applyNumberFormat="1" applyFont="1" applyFill="1" applyAlignment="1">
      <alignment horizontal="right"/>
    </xf>
    <xf numFmtId="3" fontId="10" fillId="0" borderId="1" xfId="76" applyNumberFormat="1" applyFont="1" applyFill="1" applyBorder="1" applyAlignment="1">
      <alignment horizontal="right" vertical="top"/>
    </xf>
    <xf numFmtId="49" fontId="10" fillId="36" borderId="1" xfId="76" applyNumberFormat="1" applyFont="1" applyFill="1" applyBorder="1" applyAlignment="1">
      <alignment horizontal="left" wrapText="1"/>
    </xf>
    <xf numFmtId="49" fontId="10" fillId="36" borderId="1" xfId="76" applyNumberFormat="1" applyFont="1" applyFill="1" applyAlignment="1">
      <alignment horizontal="left"/>
    </xf>
    <xf numFmtId="0" fontId="0" fillId="36" borderId="0" xfId="0" applyFill="1"/>
    <xf numFmtId="49" fontId="10" fillId="36" borderId="27" xfId="76" applyNumberFormat="1" applyFont="1" applyFill="1" applyBorder="1" applyAlignment="1">
      <alignment horizontal="left"/>
    </xf>
    <xf numFmtId="49" fontId="11" fillId="36" borderId="34" xfId="80" applyNumberFormat="1" applyFont="1" applyFill="1" applyAlignment="1">
      <alignment horizontal="left"/>
    </xf>
    <xf numFmtId="49" fontId="10" fillId="36" borderId="34" xfId="77" applyNumberFormat="1" applyFont="1" applyFill="1" applyBorder="1" applyAlignment="1">
      <alignment horizontal="left"/>
    </xf>
    <xf numFmtId="49" fontId="10" fillId="36" borderId="0" xfId="0" applyNumberFormat="1" applyFont="1" applyFill="1" applyAlignment="1">
      <alignment horizontal="left"/>
    </xf>
    <xf numFmtId="0" fontId="10" fillId="36" borderId="0" xfId="0" applyNumberFormat="1" applyFont="1" applyFill="1" applyAlignment="1">
      <alignment horizontal="left"/>
    </xf>
    <xf numFmtId="49" fontId="11" fillId="36" borderId="30" xfId="73" applyNumberFormat="1" applyFont="1" applyFill="1" applyBorder="1" applyAlignment="1">
      <alignment horizontal="left"/>
    </xf>
    <xf numFmtId="0" fontId="33" fillId="36" borderId="0" xfId="3" applyNumberFormat="1" applyFont="1" applyFill="1" applyAlignment="1">
      <alignment horizontal="left"/>
    </xf>
    <xf numFmtId="0" fontId="0" fillId="36" borderId="0" xfId="0" applyFill="1"/>
    <xf numFmtId="49" fontId="11" fillId="38" borderId="1" xfId="76" applyNumberFormat="1" applyFont="1" applyFill="1" applyAlignment="1">
      <alignment horizontal="right" wrapText="1"/>
    </xf>
    <xf numFmtId="49" fontId="11" fillId="36" borderId="1" xfId="76" applyNumberFormat="1" applyFont="1" applyFill="1" applyAlignment="1">
      <alignment horizontal="right" wrapText="1"/>
    </xf>
    <xf numFmtId="0" fontId="0" fillId="36" borderId="0" xfId="64" applyNumberFormat="1" applyFont="1" applyFill="1" applyBorder="1" applyAlignment="1"/>
    <xf numFmtId="0" fontId="0" fillId="36" borderId="0" xfId="0" applyFill="1"/>
    <xf numFmtId="0" fontId="10" fillId="36" borderId="0" xfId="0" applyNumberFormat="1" applyFont="1" applyFill="1" applyAlignment="1">
      <alignment horizontal="left"/>
    </xf>
    <xf numFmtId="0" fontId="0" fillId="36" borderId="0" xfId="0" applyFill="1"/>
    <xf numFmtId="49" fontId="10" fillId="36" borderId="1" xfId="76" applyNumberFormat="1" applyFont="1" applyFill="1" applyAlignment="1">
      <alignment horizontal="left"/>
    </xf>
    <xf numFmtId="0" fontId="10" fillId="36" borderId="1" xfId="76" applyNumberFormat="1" applyFont="1" applyFill="1" applyAlignment="1">
      <alignment horizontal="left"/>
    </xf>
    <xf numFmtId="0" fontId="10" fillId="36" borderId="0" xfId="0" applyNumberFormat="1" applyFont="1" applyFill="1" applyAlignment="1">
      <alignment horizontal="left"/>
    </xf>
    <xf numFmtId="0" fontId="0" fillId="36" borderId="0" xfId="0" applyNumberFormat="1" applyFill="1"/>
    <xf numFmtId="0" fontId="0" fillId="36" borderId="0" xfId="0" applyFill="1"/>
    <xf numFmtId="0" fontId="10" fillId="36" borderId="0" xfId="3" applyNumberFormat="1" applyFont="1" applyFill="1" applyAlignment="1">
      <alignment horizontal="right" wrapText="1"/>
    </xf>
    <xf numFmtId="2" fontId="10" fillId="36" borderId="34" xfId="77" applyNumberFormat="1" applyFont="1" applyFill="1" applyBorder="1" applyAlignment="1">
      <alignment horizontal="left"/>
    </xf>
    <xf numFmtId="0" fontId="33" fillId="36" borderId="0" xfId="72" applyNumberFormat="1" applyFont="1" applyFill="1" applyBorder="1" applyAlignment="1">
      <alignment horizontal="left"/>
    </xf>
    <xf numFmtId="0" fontId="0" fillId="36" borderId="0" xfId="0" applyFill="1"/>
    <xf numFmtId="49" fontId="10" fillId="36" borderId="1" xfId="76" applyNumberFormat="1" applyFont="1" applyFill="1" applyAlignment="1">
      <alignment horizontal="left" wrapText="1"/>
    </xf>
    <xf numFmtId="0" fontId="10" fillId="36" borderId="0" xfId="0" applyNumberFormat="1" applyFont="1" applyFill="1" applyAlignment="1">
      <alignment horizontal="left"/>
    </xf>
    <xf numFmtId="0" fontId="0" fillId="36" borderId="0" xfId="0" applyFill="1"/>
    <xf numFmtId="0" fontId="10" fillId="36" borderId="0" xfId="3" applyNumberFormat="1" applyFont="1" applyFill="1" applyAlignment="1">
      <alignment horizontal="left" wrapText="1"/>
    </xf>
    <xf numFmtId="0" fontId="10" fillId="36" borderId="0" xfId="0" applyNumberFormat="1" applyFont="1" applyFill="1" applyAlignment="1">
      <alignment horizontal="left" wrapText="1"/>
    </xf>
    <xf numFmtId="0" fontId="10" fillId="36" borderId="0" xfId="0" applyNumberFormat="1" applyFont="1" applyFill="1" applyAlignment="1">
      <alignment horizontal="left"/>
    </xf>
    <xf numFmtId="0" fontId="11" fillId="36" borderId="34" xfId="73" applyNumberFormat="1" applyFont="1" applyFill="1" applyAlignment="1"/>
    <xf numFmtId="0" fontId="0" fillId="36" borderId="0" xfId="0" applyNumberFormat="1" applyFill="1"/>
    <xf numFmtId="0" fontId="0" fillId="36" borderId="0" xfId="0" applyFill="1"/>
    <xf numFmtId="0" fontId="0" fillId="36" borderId="0" xfId="0" applyFill="1"/>
    <xf numFmtId="49" fontId="10" fillId="36" borderId="0" xfId="0" applyNumberFormat="1" applyFont="1" applyFill="1" applyAlignment="1">
      <alignment horizontal="left"/>
    </xf>
    <xf numFmtId="0" fontId="0" fillId="36" borderId="0" xfId="0" applyFill="1"/>
    <xf numFmtId="0" fontId="0" fillId="36" borderId="0" xfId="0" applyFill="1"/>
    <xf numFmtId="0" fontId="10" fillId="38" borderId="34" xfId="77" applyNumberFormat="1" applyFont="1" applyFill="1" applyBorder="1" applyAlignment="1">
      <alignment horizontal="right"/>
    </xf>
    <xf numFmtId="0" fontId="0" fillId="36" borderId="0" xfId="0" applyFill="1"/>
    <xf numFmtId="0" fontId="11" fillId="38" borderId="34" xfId="73" applyNumberFormat="1" applyFont="1" applyFill="1" applyAlignment="1"/>
    <xf numFmtId="3" fontId="10" fillId="38" borderId="1" xfId="76" applyNumberFormat="1" applyFont="1" applyFill="1" applyAlignment="1">
      <alignment horizontal="right"/>
    </xf>
    <xf numFmtId="0" fontId="10" fillId="36" borderId="0" xfId="0" applyNumberFormat="1" applyFont="1" applyFill="1" applyAlignment="1">
      <alignment horizontal="left"/>
    </xf>
    <xf numFmtId="0" fontId="0" fillId="36" borderId="0" xfId="0" applyFill="1"/>
    <xf numFmtId="49" fontId="11" fillId="36" borderId="34" xfId="73" applyNumberFormat="1" applyFont="1" applyFill="1" applyAlignment="1">
      <alignment horizontal="left" wrapText="1"/>
    </xf>
    <xf numFmtId="0" fontId="10" fillId="38" borderId="34" xfId="73" applyNumberFormat="1" applyFont="1" applyFill="1" applyAlignment="1">
      <alignment horizontal="left" wrapText="1"/>
    </xf>
    <xf numFmtId="49" fontId="10" fillId="36" borderId="1" xfId="76" applyNumberFormat="1" applyFont="1" applyFill="1" applyAlignment="1">
      <alignment horizontal="left"/>
    </xf>
    <xf numFmtId="0" fontId="10" fillId="36" borderId="0" xfId="3" applyNumberFormat="1" applyFont="1" applyFill="1" applyAlignment="1">
      <alignment horizontal="left" wrapText="1"/>
    </xf>
    <xf numFmtId="0" fontId="10" fillId="36" borderId="0" xfId="0" applyNumberFormat="1" applyFont="1" applyFill="1" applyAlignment="1">
      <alignment horizontal="left" wrapText="1"/>
    </xf>
    <xf numFmtId="0" fontId="10" fillId="36" borderId="1" xfId="76" applyNumberFormat="1" applyFont="1" applyFill="1" applyAlignment="1">
      <alignment horizontal="left" wrapText="1"/>
    </xf>
    <xf numFmtId="0" fontId="0" fillId="36" borderId="0" xfId="0" applyFill="1"/>
    <xf numFmtId="3" fontId="11" fillId="38" borderId="34" xfId="80" applyNumberFormat="1" applyFont="1" applyFill="1" applyAlignment="1">
      <alignment horizontal="right" wrapText="1"/>
    </xf>
    <xf numFmtId="0" fontId="0" fillId="36" borderId="0" xfId="0" applyNumberFormat="1" applyFill="1"/>
    <xf numFmtId="1" fontId="11" fillId="38" borderId="1" xfId="76" applyNumberFormat="1" applyFont="1" applyFill="1" applyAlignment="1">
      <alignment horizontal="right"/>
    </xf>
    <xf numFmtId="0" fontId="10" fillId="36" borderId="0" xfId="0" applyNumberFormat="1" applyFont="1" applyFill="1" applyAlignment="1">
      <alignment horizontal="left"/>
    </xf>
    <xf numFmtId="49" fontId="11" fillId="36" borderId="34" xfId="80" applyNumberFormat="1" applyFont="1" applyFill="1" applyAlignment="1">
      <alignment horizontal="left"/>
    </xf>
    <xf numFmtId="49" fontId="10" fillId="36" borderId="34" xfId="77" applyNumberFormat="1" applyFont="1" applyFill="1" applyBorder="1" applyAlignment="1">
      <alignment horizontal="left"/>
    </xf>
    <xf numFmtId="49" fontId="11" fillId="36" borderId="0" xfId="3" applyNumberFormat="1" applyFont="1" applyFill="1" applyAlignment="1">
      <alignment horizontal="left"/>
    </xf>
    <xf numFmtId="49" fontId="11" fillId="36" borderId="0" xfId="0" applyNumberFormat="1" applyFont="1" applyFill="1" applyAlignment="1">
      <alignment horizontal="left"/>
    </xf>
    <xf numFmtId="0" fontId="0" fillId="36" borderId="0" xfId="0" applyFill="1"/>
    <xf numFmtId="49" fontId="11" fillId="36" borderId="0" xfId="3" applyNumberFormat="1" applyFont="1" applyFill="1" applyBorder="1" applyAlignment="1">
      <alignment horizontal="left" wrapText="1"/>
    </xf>
    <xf numFmtId="0" fontId="11" fillId="36" borderId="0" xfId="3" applyNumberFormat="1" applyFont="1" applyFill="1" applyBorder="1" applyAlignment="1">
      <alignment horizontal="left" wrapText="1"/>
    </xf>
    <xf numFmtId="49" fontId="11" fillId="36" borderId="0" xfId="3" applyNumberFormat="1" applyFont="1" applyFill="1" applyAlignment="1">
      <alignment horizontal="left" wrapText="1"/>
    </xf>
    <xf numFmtId="0" fontId="11" fillId="36" borderId="0" xfId="3" applyNumberFormat="1" applyFont="1" applyFill="1" applyAlignment="1">
      <alignment horizontal="left"/>
    </xf>
    <xf numFmtId="0" fontId="11" fillId="36" borderId="0" xfId="62" applyNumberFormat="1" applyFont="1" applyFill="1" applyAlignment="1">
      <alignment horizontal="left"/>
    </xf>
    <xf numFmtId="0" fontId="0" fillId="36" borderId="0" xfId="0" applyFill="1"/>
    <xf numFmtId="49" fontId="11" fillId="0" borderId="0" xfId="0" applyNumberFormat="1" applyFont="1" applyAlignment="1">
      <alignment horizontal="left"/>
    </xf>
    <xf numFmtId="3" fontId="11" fillId="38" borderId="34" xfId="77" applyNumberFormat="1" applyFont="1" applyFill="1" applyBorder="1" applyAlignment="1"/>
    <xf numFmtId="0" fontId="11" fillId="0" borderId="0" xfId="0" applyFont="1" applyAlignment="1">
      <alignment horizontal="left"/>
    </xf>
    <xf numFmtId="0" fontId="10" fillId="36" borderId="0" xfId="0" applyNumberFormat="1" applyFont="1" applyFill="1" applyAlignment="1">
      <alignment horizontal="left"/>
    </xf>
    <xf numFmtId="0" fontId="0" fillId="36" borderId="0" xfId="0" applyFill="1"/>
    <xf numFmtId="49" fontId="10" fillId="36" borderId="0" xfId="0" applyNumberFormat="1" applyFont="1" applyFill="1" applyAlignment="1">
      <alignment horizontal="left" wrapText="1"/>
    </xf>
    <xf numFmtId="0" fontId="10" fillId="36" borderId="0" xfId="3" applyNumberFormat="1" applyFont="1" applyFill="1" applyAlignment="1">
      <alignment horizontal="left" wrapText="1"/>
    </xf>
    <xf numFmtId="0" fontId="0" fillId="36" borderId="0" xfId="0" applyFill="1"/>
    <xf numFmtId="0" fontId="10" fillId="36" borderId="1" xfId="76" applyNumberFormat="1" applyFont="1" applyFill="1" applyAlignment="1">
      <alignment horizontal="left"/>
    </xf>
    <xf numFmtId="49" fontId="10" fillId="36" borderId="0" xfId="0" applyNumberFormat="1" applyFont="1" applyFill="1" applyAlignment="1">
      <alignment horizontal="left" wrapText="1"/>
    </xf>
    <xf numFmtId="49" fontId="10" fillId="36" borderId="34" xfId="77" applyNumberFormat="1" applyFont="1" applyFill="1" applyBorder="1" applyAlignment="1">
      <alignment horizontal="left"/>
    </xf>
    <xf numFmtId="49" fontId="11" fillId="36" borderId="1" xfId="76" applyNumberFormat="1" applyFont="1" applyFill="1" applyAlignment="1">
      <alignment horizontal="left"/>
    </xf>
    <xf numFmtId="49" fontId="10" fillId="36" borderId="1" xfId="76" applyNumberFormat="1" applyFont="1" applyFill="1" applyAlignment="1">
      <alignment horizontal="left"/>
    </xf>
    <xf numFmtId="49" fontId="11" fillId="36" borderId="0" xfId="3" applyNumberFormat="1" applyFont="1" applyFill="1" applyAlignment="1">
      <alignment horizontal="left"/>
    </xf>
    <xf numFmtId="49" fontId="10" fillId="36" borderId="0" xfId="0" applyNumberFormat="1" applyFont="1" applyFill="1" applyAlignment="1">
      <alignment horizontal="left"/>
    </xf>
    <xf numFmtId="0" fontId="10" fillId="36" borderId="0" xfId="0" applyNumberFormat="1" applyFont="1" applyFill="1" applyAlignment="1">
      <alignment horizontal="left"/>
    </xf>
    <xf numFmtId="49" fontId="11" fillId="36" borderId="30" xfId="73" applyNumberFormat="1" applyFont="1" applyFill="1" applyBorder="1" applyAlignment="1">
      <alignment horizontal="left"/>
    </xf>
    <xf numFmtId="0" fontId="33" fillId="36" borderId="0" xfId="3" applyNumberFormat="1" applyFont="1" applyFill="1" applyAlignment="1">
      <alignment horizontal="left"/>
    </xf>
    <xf numFmtId="49" fontId="11" fillId="36" borderId="0" xfId="0" applyNumberFormat="1" applyFont="1" applyFill="1" applyAlignment="1">
      <alignment horizontal="left"/>
    </xf>
    <xf numFmtId="0" fontId="0" fillId="36" borderId="0" xfId="0" applyFill="1"/>
    <xf numFmtId="0" fontId="10" fillId="36" borderId="0" xfId="75" applyNumberFormat="1" applyFont="1" applyFill="1" applyBorder="1" applyAlignment="1">
      <alignment horizontal="right"/>
    </xf>
    <xf numFmtId="0" fontId="33" fillId="36" borderId="0" xfId="3" applyNumberFormat="1" applyFont="1" applyFill="1" applyAlignment="1">
      <alignment horizontal="left"/>
    </xf>
    <xf numFmtId="0" fontId="11" fillId="36" borderId="0" xfId="3" applyNumberFormat="1" applyFont="1" applyFill="1" applyAlignment="1">
      <alignment horizontal="left"/>
    </xf>
    <xf numFmtId="0" fontId="0" fillId="36" borderId="0" xfId="0" applyFill="1"/>
    <xf numFmtId="1" fontId="11" fillId="36" borderId="0" xfId="0" applyNumberFormat="1" applyFont="1" applyFill="1" applyAlignment="1">
      <alignment horizontal="left"/>
    </xf>
    <xf numFmtId="49" fontId="10" fillId="36" borderId="1" xfId="76" applyNumberFormat="1" applyFont="1" applyFill="1" applyAlignment="1">
      <alignment horizontal="left"/>
    </xf>
    <xf numFmtId="0" fontId="0" fillId="36" borderId="0" xfId="0" applyFill="1"/>
    <xf numFmtId="49" fontId="11" fillId="36" borderId="34" xfId="73" applyNumberFormat="1" applyFont="1" applyFill="1" applyAlignment="1">
      <alignment horizontal="left"/>
    </xf>
    <xf numFmtId="49" fontId="11" fillId="36" borderId="1" xfId="76" applyNumberFormat="1" applyFont="1" applyFill="1" applyAlignment="1">
      <alignment horizontal="left"/>
    </xf>
    <xf numFmtId="49" fontId="10" fillId="36" borderId="34" xfId="77" applyNumberFormat="1" applyFont="1" applyFill="1" applyBorder="1" applyAlignment="1">
      <alignment horizontal="left"/>
    </xf>
    <xf numFmtId="49" fontId="10" fillId="36" borderId="1" xfId="76" applyNumberFormat="1" applyFont="1" applyFill="1" applyAlignment="1">
      <alignment horizontal="left"/>
    </xf>
    <xf numFmtId="0" fontId="10" fillId="36" borderId="0" xfId="0" applyNumberFormat="1" applyFont="1" applyFill="1" applyAlignment="1">
      <alignment horizontal="left"/>
    </xf>
    <xf numFmtId="0" fontId="33" fillId="36" borderId="0" xfId="3" applyNumberFormat="1" applyFont="1" applyFill="1" applyAlignment="1">
      <alignment horizontal="left"/>
    </xf>
    <xf numFmtId="49" fontId="11" fillId="36" borderId="34" xfId="73" applyNumberFormat="1" applyFont="1" applyFill="1" applyAlignment="1">
      <alignment horizontal="left"/>
    </xf>
    <xf numFmtId="0" fontId="0" fillId="36" borderId="0" xfId="0" applyFill="1"/>
    <xf numFmtId="0" fontId="0" fillId="36" borderId="0" xfId="0" applyFill="1"/>
    <xf numFmtId="0" fontId="10" fillId="36" borderId="0" xfId="75" quotePrefix="1" applyNumberFormat="1" applyFont="1" applyFill="1" applyBorder="1" applyAlignment="1">
      <alignment horizontal="left" wrapText="1"/>
    </xf>
    <xf numFmtId="3" fontId="10" fillId="36" borderId="34" xfId="77" quotePrefix="1" applyNumberFormat="1" applyFont="1" applyFill="1" applyBorder="1" applyAlignment="1">
      <alignment horizontal="right"/>
    </xf>
    <xf numFmtId="0" fontId="10" fillId="36" borderId="1" xfId="76" applyNumberFormat="1" applyFont="1" applyFill="1" applyAlignment="1"/>
    <xf numFmtId="49" fontId="10" fillId="36" borderId="0" xfId="0" applyNumberFormat="1" applyFont="1" applyFill="1" applyAlignment="1">
      <alignment horizontal="left" wrapText="1"/>
    </xf>
    <xf numFmtId="49" fontId="10" fillId="36" borderId="34" xfId="77" applyNumberFormat="1" applyFont="1" applyFill="1" applyBorder="1" applyAlignment="1">
      <alignment horizontal="left"/>
    </xf>
    <xf numFmtId="49" fontId="10" fillId="36" borderId="1" xfId="76" applyNumberFormat="1" applyFont="1" applyFill="1" applyAlignment="1">
      <alignment horizontal="left"/>
    </xf>
    <xf numFmtId="3" fontId="11" fillId="36" borderId="30" xfId="77" applyNumberFormat="1" applyFont="1" applyFill="1" applyAlignment="1">
      <alignment horizontal="right"/>
    </xf>
    <xf numFmtId="3" fontId="58" fillId="36" borderId="1" xfId="76" applyNumberFormat="1" applyFont="1" applyFill="1" applyAlignment="1">
      <alignment horizontal="right"/>
    </xf>
    <xf numFmtId="3" fontId="58" fillId="36" borderId="30" xfId="77" applyNumberFormat="1" applyFont="1" applyFill="1" applyAlignment="1">
      <alignment horizontal="right"/>
    </xf>
    <xf numFmtId="3" fontId="11" fillId="36" borderId="1" xfId="76" applyNumberFormat="1" applyFont="1" applyFill="1" applyAlignment="1"/>
    <xf numFmtId="0" fontId="11" fillId="36" borderId="30" xfId="77" applyNumberFormat="1" applyFont="1" applyFill="1" applyAlignment="1"/>
    <xf numFmtId="49" fontId="11" fillId="36" borderId="1" xfId="76" applyNumberFormat="1" applyFont="1" applyFill="1" applyAlignment="1">
      <alignment horizontal="left"/>
    </xf>
    <xf numFmtId="49" fontId="11" fillId="36" borderId="34" xfId="80" applyNumberFormat="1" applyFont="1" applyFill="1" applyAlignment="1">
      <alignment horizontal="left"/>
    </xf>
    <xf numFmtId="0" fontId="0" fillId="36" borderId="0" xfId="0" applyFill="1"/>
    <xf numFmtId="3" fontId="58" fillId="36" borderId="34" xfId="80" applyNumberFormat="1" applyFont="1" applyFill="1" applyAlignment="1">
      <alignment horizontal="right"/>
    </xf>
    <xf numFmtId="0" fontId="0" fillId="36" borderId="0" xfId="0" applyFill="1"/>
    <xf numFmtId="49" fontId="10" fillId="36" borderId="0" xfId="0" applyNumberFormat="1" applyFont="1" applyFill="1" applyAlignment="1">
      <alignment horizontal="left" wrapText="1"/>
    </xf>
    <xf numFmtId="0" fontId="0" fillId="36" borderId="0" xfId="0" applyFill="1"/>
    <xf numFmtId="0" fontId="0" fillId="36" borderId="0" xfId="0" applyFill="1"/>
    <xf numFmtId="49" fontId="10" fillId="36" borderId="0" xfId="0" applyNumberFormat="1" applyFont="1" applyFill="1" applyAlignment="1">
      <alignment horizontal="left"/>
    </xf>
    <xf numFmtId="0" fontId="0" fillId="36" borderId="0" xfId="0" applyFill="1"/>
    <xf numFmtId="0" fontId="0" fillId="36" borderId="0" xfId="0" applyFill="1"/>
    <xf numFmtId="0" fontId="0" fillId="36" borderId="0" xfId="0" applyFill="1"/>
    <xf numFmtId="3" fontId="0" fillId="36" borderId="0" xfId="0" applyNumberFormat="1" applyFill="1"/>
    <xf numFmtId="0" fontId="0" fillId="36" borderId="0" xfId="0" applyFill="1"/>
    <xf numFmtId="49" fontId="10" fillId="36" borderId="1" xfId="76" applyNumberFormat="1" applyFont="1" applyFill="1" applyAlignment="1">
      <alignment horizontal="left"/>
    </xf>
    <xf numFmtId="0" fontId="0" fillId="36" borderId="0" xfId="0" applyFill="1"/>
    <xf numFmtId="0" fontId="0" fillId="36" borderId="0" xfId="0" applyFill="1"/>
    <xf numFmtId="0" fontId="0" fillId="36" borderId="0" xfId="0" applyFill="1"/>
    <xf numFmtId="49" fontId="10" fillId="36" borderId="1" xfId="76" applyNumberFormat="1" applyFont="1" applyFill="1" applyAlignment="1">
      <alignment horizontal="left"/>
    </xf>
    <xf numFmtId="0" fontId="10" fillId="36" borderId="0" xfId="0" applyNumberFormat="1" applyFont="1" applyFill="1" applyAlignment="1">
      <alignment horizontal="left"/>
    </xf>
    <xf numFmtId="49" fontId="10" fillId="36" borderId="1" xfId="76" applyNumberFormat="1" applyFont="1" applyFill="1" applyAlignment="1">
      <alignment horizontal="left" indent="1"/>
    </xf>
    <xf numFmtId="49" fontId="10" fillId="36" borderId="34" xfId="77" applyNumberFormat="1" applyFont="1" applyFill="1" applyBorder="1" applyAlignment="1"/>
    <xf numFmtId="49" fontId="11" fillId="36" borderId="1" xfId="76" applyNumberFormat="1" applyFont="1" applyFill="1" applyAlignment="1"/>
    <xf numFmtId="0" fontId="0" fillId="36" borderId="0" xfId="0" applyFill="1"/>
    <xf numFmtId="0" fontId="0" fillId="36" borderId="0" xfId="0" applyFill="1"/>
    <xf numFmtId="0" fontId="0" fillId="36" borderId="0" xfId="0" applyFill="1"/>
    <xf numFmtId="0" fontId="10" fillId="36" borderId="0" xfId="76" applyNumberFormat="1" applyFont="1" applyFill="1" applyBorder="1" applyAlignment="1">
      <alignment horizontal="left"/>
    </xf>
    <xf numFmtId="49" fontId="10" fillId="36" borderId="0" xfId="76" applyNumberFormat="1" applyFont="1" applyFill="1" applyBorder="1" applyAlignment="1">
      <alignment horizontal="left" wrapText="1"/>
    </xf>
    <xf numFmtId="0" fontId="11" fillId="36" borderId="0" xfId="0" applyNumberFormat="1" applyFont="1" applyFill="1" applyAlignment="1"/>
    <xf numFmtId="0" fontId="10" fillId="36" borderId="0" xfId="79" applyNumberFormat="1" applyFont="1" applyFill="1" applyAlignment="1"/>
    <xf numFmtId="0" fontId="0" fillId="36" borderId="0" xfId="79" applyFont="1" applyFill="1" applyAlignment="1"/>
    <xf numFmtId="0" fontId="0" fillId="36" borderId="0" xfId="0" applyNumberFormat="1" applyFill="1" applyBorder="1"/>
    <xf numFmtId="0" fontId="10" fillId="36" borderId="0" xfId="73" applyNumberFormat="1" applyFont="1" applyFill="1" applyBorder="1" applyAlignment="1">
      <alignment horizontal="right"/>
    </xf>
    <xf numFmtId="0" fontId="10" fillId="36" borderId="0" xfId="76" applyNumberFormat="1" applyFont="1" applyFill="1" applyBorder="1" applyAlignment="1">
      <alignment horizontal="right"/>
    </xf>
    <xf numFmtId="49" fontId="10" fillId="36" borderId="0" xfId="76" applyNumberFormat="1" applyFont="1" applyFill="1" applyBorder="1" applyAlignment="1">
      <alignment horizontal="right"/>
    </xf>
    <xf numFmtId="0" fontId="10" fillId="36" borderId="0" xfId="86" applyNumberFormat="1" applyFont="1" applyFill="1" applyBorder="1" applyAlignment="1">
      <alignment horizontal="right"/>
    </xf>
    <xf numFmtId="0" fontId="10" fillId="36" borderId="0" xfId="87" applyNumberFormat="1" applyFont="1" applyFill="1" applyBorder="1" applyAlignment="1">
      <alignment wrapText="1"/>
    </xf>
    <xf numFmtId="49" fontId="10" fillId="36" borderId="0" xfId="76" applyNumberFormat="1" applyFont="1" applyFill="1" applyBorder="1" applyAlignment="1">
      <alignment horizontal="left" indent="2"/>
    </xf>
    <xf numFmtId="0" fontId="10" fillId="36" borderId="0" xfId="86" applyNumberFormat="1" applyFont="1" applyFill="1" applyBorder="1" applyAlignment="1">
      <alignment horizontal="left" indent="2"/>
    </xf>
    <xf numFmtId="49" fontId="10" fillId="36" borderId="0" xfId="86" applyNumberFormat="1" applyFont="1" applyFill="1" applyBorder="1" applyAlignment="1">
      <alignment horizontal="right"/>
    </xf>
    <xf numFmtId="49" fontId="11" fillId="36" borderId="0" xfId="76" applyNumberFormat="1" applyFont="1" applyFill="1" applyBorder="1" applyAlignment="1">
      <alignment horizontal="left" wrapText="1"/>
    </xf>
    <xf numFmtId="49" fontId="10" fillId="36" borderId="0" xfId="86" applyNumberFormat="1" applyFont="1" applyFill="1" applyBorder="1" applyAlignment="1">
      <alignment horizontal="left" wrapText="1"/>
    </xf>
    <xf numFmtId="0" fontId="2" fillId="36" borderId="0" xfId="88" applyFill="1"/>
    <xf numFmtId="0" fontId="0" fillId="36" borderId="0" xfId="89" applyNumberFormat="1" applyFont="1" applyFill="1"/>
    <xf numFmtId="0" fontId="11" fillId="36" borderId="0" xfId="88" applyNumberFormat="1" applyFont="1" applyFill="1" applyAlignment="1"/>
    <xf numFmtId="0" fontId="37" fillId="36" borderId="0" xfId="90" applyFill="1"/>
    <xf numFmtId="49" fontId="11" fillId="36" borderId="0" xfId="91" applyNumberFormat="1" applyFont="1" applyFill="1" applyBorder="1" applyAlignment="1">
      <alignment horizontal="right"/>
    </xf>
    <xf numFmtId="3" fontId="2" fillId="36" borderId="0" xfId="88" applyNumberFormat="1" applyFill="1"/>
    <xf numFmtId="4" fontId="2" fillId="36" borderId="0" xfId="88" applyNumberFormat="1" applyFill="1"/>
    <xf numFmtId="49" fontId="10" fillId="36" borderId="0" xfId="88" applyNumberFormat="1" applyFont="1" applyFill="1" applyBorder="1" applyAlignment="1">
      <alignment horizontal="left"/>
    </xf>
    <xf numFmtId="0" fontId="57" fillId="36" borderId="0" xfId="88" applyFont="1" applyFill="1"/>
    <xf numFmtId="0" fontId="0" fillId="36" borderId="0" xfId="0" applyFill="1"/>
    <xf numFmtId="49" fontId="10" fillId="36" borderId="1" xfId="76" applyNumberFormat="1" applyFont="1" applyFill="1" applyAlignment="1">
      <alignment horizontal="left"/>
    </xf>
    <xf numFmtId="49" fontId="11" fillId="36" borderId="34" xfId="80" applyNumberFormat="1" applyFont="1" applyFill="1" applyAlignment="1">
      <alignment horizontal="left"/>
    </xf>
    <xf numFmtId="0" fontId="0" fillId="36" borderId="0" xfId="0" applyFill="1"/>
    <xf numFmtId="0" fontId="11" fillId="36" borderId="0" xfId="73" applyNumberFormat="1" applyFont="1" applyFill="1" applyBorder="1" applyAlignment="1">
      <alignment horizontal="right" wrapText="1"/>
    </xf>
    <xf numFmtId="49" fontId="10" fillId="36" borderId="34" xfId="86" applyNumberFormat="1" applyFont="1" applyFill="1" applyBorder="1" applyAlignment="1">
      <alignment horizontal="left"/>
    </xf>
    <xf numFmtId="3" fontId="10" fillId="36" borderId="34" xfId="86" applyNumberFormat="1" applyFont="1" applyFill="1" applyBorder="1" applyAlignment="1">
      <alignment horizontal="right" wrapText="1"/>
    </xf>
    <xf numFmtId="0" fontId="0" fillId="36" borderId="0" xfId="0" applyFill="1" applyAlignment="1">
      <alignment horizontal="center"/>
    </xf>
    <xf numFmtId="49" fontId="10" fillId="36" borderId="0" xfId="0" applyNumberFormat="1" applyFont="1" applyFill="1" applyAlignment="1">
      <alignment horizontal="left"/>
    </xf>
    <xf numFmtId="0" fontId="75" fillId="36" borderId="1" xfId="76" applyNumberFormat="1" applyFont="1" applyFill="1" applyAlignment="1">
      <alignment horizontal="right"/>
    </xf>
    <xf numFmtId="3" fontId="75" fillId="36" borderId="1" xfId="76" applyNumberFormat="1" applyFont="1" applyFill="1" applyAlignment="1">
      <alignment horizontal="right"/>
    </xf>
    <xf numFmtId="49" fontId="10" fillId="36" borderId="1" xfId="76" applyNumberFormat="1" applyFont="1" applyFill="1" applyBorder="1" applyAlignment="1">
      <alignment horizontal="left"/>
    </xf>
    <xf numFmtId="49" fontId="10" fillId="36" borderId="1" xfId="76" applyNumberFormat="1" applyFont="1" applyFill="1" applyBorder="1" applyAlignment="1">
      <alignment horizontal="left"/>
    </xf>
    <xf numFmtId="49" fontId="11" fillId="36" borderId="0" xfId="3" applyNumberFormat="1" applyFont="1" applyFill="1" applyAlignment="1">
      <alignment horizontal="left"/>
    </xf>
    <xf numFmtId="49" fontId="10" fillId="36" borderId="0" xfId="0" applyNumberFormat="1" applyFont="1" applyFill="1" applyAlignment="1">
      <alignment horizontal="left"/>
    </xf>
    <xf numFmtId="0" fontId="0" fillId="36" borderId="0" xfId="0" applyFill="1"/>
    <xf numFmtId="0" fontId="57" fillId="36" borderId="0" xfId="0" applyFont="1" applyFill="1" applyAlignment="1"/>
    <xf numFmtId="3" fontId="58" fillId="38" borderId="34" xfId="77" applyNumberFormat="1" applyFont="1" applyFill="1" applyBorder="1" applyAlignment="1">
      <alignment horizontal="right"/>
    </xf>
    <xf numFmtId="164" fontId="58" fillId="38" borderId="34" xfId="77" applyNumberFormat="1" applyFont="1" applyFill="1" applyBorder="1" applyAlignment="1">
      <alignment horizontal="right"/>
    </xf>
    <xf numFmtId="49" fontId="0" fillId="36" borderId="0" xfId="0" applyNumberFormat="1" applyFill="1"/>
    <xf numFmtId="0" fontId="10" fillId="38" borderId="0" xfId="76" applyNumberFormat="1" applyFont="1" applyFill="1" applyBorder="1" applyAlignment="1">
      <alignment horizontal="right" wrapText="1"/>
    </xf>
    <xf numFmtId="0" fontId="0" fillId="36" borderId="0" xfId="0" applyNumberFormat="1" applyFill="1"/>
    <xf numFmtId="0" fontId="0" fillId="36" borderId="0" xfId="0" applyFill="1"/>
    <xf numFmtId="0" fontId="10" fillId="36" borderId="0" xfId="0" applyFont="1" applyFill="1" applyAlignment="1">
      <alignment wrapText="1"/>
    </xf>
    <xf numFmtId="0" fontId="48" fillId="36" borderId="0" xfId="3" applyNumberFormat="1" applyFont="1" applyFill="1" applyBorder="1" applyAlignment="1">
      <alignment horizontal="left"/>
    </xf>
    <xf numFmtId="0" fontId="0" fillId="36" borderId="0" xfId="0" applyNumberFormat="1" applyFill="1"/>
    <xf numFmtId="0" fontId="10" fillId="36" borderId="1" xfId="76" applyNumberFormat="1" applyFont="1" applyFill="1" applyAlignment="1">
      <alignment horizontal="left" wrapText="1"/>
    </xf>
    <xf numFmtId="0" fontId="10" fillId="36" borderId="0" xfId="0" applyNumberFormat="1" applyFont="1" applyFill="1" applyAlignment="1">
      <alignment horizontal="left" wrapText="1"/>
    </xf>
    <xf numFmtId="0" fontId="10" fillId="36" borderId="0" xfId="0" applyNumberFormat="1" applyFont="1" applyFill="1" applyAlignment="1">
      <alignment wrapText="1"/>
    </xf>
    <xf numFmtId="49" fontId="33" fillId="36" borderId="0" xfId="70" applyNumberFormat="1" applyFont="1" applyFill="1" applyBorder="1" applyAlignment="1">
      <alignment horizontal="left"/>
    </xf>
    <xf numFmtId="0" fontId="0" fillId="36" borderId="0" xfId="0" applyFill="1"/>
    <xf numFmtId="0" fontId="57" fillId="36" borderId="0" xfId="0" applyFont="1" applyFill="1" applyAlignment="1">
      <alignment wrapText="1"/>
    </xf>
    <xf numFmtId="0" fontId="0" fillId="36" borderId="0" xfId="0" applyFill="1"/>
    <xf numFmtId="0" fontId="0" fillId="36" borderId="0" xfId="0" applyNumberFormat="1" applyFill="1"/>
    <xf numFmtId="49" fontId="10" fillId="36" borderId="0" xfId="3" applyNumberFormat="1" applyFont="1" applyFill="1" applyBorder="1" applyAlignment="1">
      <alignment horizontal="left" wrapText="1"/>
    </xf>
    <xf numFmtId="0" fontId="0" fillId="36" borderId="0" xfId="0" applyFill="1"/>
    <xf numFmtId="49" fontId="10" fillId="36" borderId="0" xfId="3" applyNumberFormat="1" applyFont="1" applyFill="1" applyAlignment="1">
      <alignment horizontal="left"/>
    </xf>
    <xf numFmtId="0" fontId="0" fillId="36" borderId="0" xfId="0" applyFill="1"/>
    <xf numFmtId="49" fontId="11" fillId="36" borderId="1" xfId="76" applyNumberFormat="1" applyFont="1" applyFill="1" applyAlignment="1">
      <alignment wrapText="1"/>
    </xf>
    <xf numFmtId="49" fontId="11" fillId="36" borderId="34" xfId="73" applyNumberFormat="1" applyFont="1" applyFill="1" applyAlignment="1">
      <alignment horizontal="left"/>
    </xf>
    <xf numFmtId="49" fontId="10" fillId="36" borderId="0" xfId="0" applyNumberFormat="1" applyFont="1" applyFill="1" applyAlignment="1">
      <alignment horizontal="left" wrapText="1"/>
    </xf>
    <xf numFmtId="0" fontId="11" fillId="36" borderId="34" xfId="73" applyNumberFormat="1" applyFont="1" applyFill="1" applyAlignment="1">
      <alignment horizontal="right"/>
    </xf>
    <xf numFmtId="49" fontId="10" fillId="36" borderId="26" xfId="76" applyNumberFormat="1" applyFont="1" applyFill="1" applyBorder="1" applyAlignment="1">
      <alignment horizontal="left"/>
    </xf>
    <xf numFmtId="49" fontId="11" fillId="36" borderId="1" xfId="76" applyNumberFormat="1" applyFont="1" applyFill="1" applyAlignment="1">
      <alignment horizontal="left"/>
    </xf>
    <xf numFmtId="49" fontId="11" fillId="36" borderId="34" xfId="73" applyNumberFormat="1" applyFont="1" applyFill="1" applyAlignment="1">
      <alignment horizontal="left" wrapText="1"/>
    </xf>
    <xf numFmtId="49" fontId="10" fillId="36" borderId="0" xfId="3" applyNumberFormat="1" applyFont="1" applyFill="1" applyBorder="1" applyAlignment="1">
      <alignment horizontal="left" wrapText="1"/>
    </xf>
    <xf numFmtId="49" fontId="11" fillId="36" borderId="0" xfId="3" applyNumberFormat="1" applyFont="1" applyFill="1" applyAlignment="1">
      <alignment horizontal="left"/>
    </xf>
    <xf numFmtId="0" fontId="0" fillId="36" borderId="0" xfId="0" applyFill="1"/>
    <xf numFmtId="49" fontId="10" fillId="36" borderId="0" xfId="3" applyNumberFormat="1" applyFont="1" applyFill="1" applyAlignment="1">
      <alignment horizontal="left"/>
    </xf>
    <xf numFmtId="0" fontId="10" fillId="36" borderId="0" xfId="0" applyNumberFormat="1" applyFont="1" applyFill="1" applyAlignment="1">
      <alignment horizontal="left" wrapText="1"/>
    </xf>
    <xf numFmtId="49" fontId="0" fillId="36" borderId="0" xfId="0" applyNumberFormat="1" applyFill="1" applyAlignment="1">
      <alignment horizontal="left"/>
    </xf>
    <xf numFmtId="0" fontId="11" fillId="36" borderId="0" xfId="3" applyNumberFormat="1" applyFont="1" applyFill="1" applyAlignment="1">
      <alignment horizontal="left"/>
    </xf>
    <xf numFmtId="0" fontId="10" fillId="36" borderId="0" xfId="3" applyNumberFormat="1" applyFont="1" applyFill="1" applyBorder="1" applyAlignment="1">
      <alignment horizontal="left" wrapText="1"/>
    </xf>
    <xf numFmtId="49" fontId="48" fillId="36" borderId="0" xfId="3" applyNumberFormat="1" applyFont="1" applyFill="1" applyAlignment="1">
      <alignment horizontal="left"/>
    </xf>
    <xf numFmtId="49" fontId="10" fillId="36" borderId="1" xfId="76" applyNumberFormat="1" applyFont="1" applyFill="1" applyAlignment="1">
      <alignment horizontal="left" wrapText="1"/>
    </xf>
    <xf numFmtId="0" fontId="10" fillId="36" borderId="1" xfId="76" applyNumberFormat="1" applyFont="1" applyFill="1" applyAlignment="1">
      <alignment horizontal="left"/>
    </xf>
    <xf numFmtId="49" fontId="11" fillId="36" borderId="34" xfId="73" applyNumberFormat="1" applyFont="1" applyFill="1" applyAlignment="1">
      <alignment horizontal="left"/>
    </xf>
    <xf numFmtId="49" fontId="10" fillId="36" borderId="0" xfId="0" applyNumberFormat="1" applyFont="1" applyFill="1" applyBorder="1" applyAlignment="1">
      <alignment horizontal="left" wrapText="1"/>
    </xf>
    <xf numFmtId="49" fontId="10" fillId="36" borderId="0" xfId="2" applyNumberFormat="1" applyFont="1" applyFill="1" applyAlignment="1">
      <alignment vertical="top" wrapText="1"/>
    </xf>
    <xf numFmtId="49" fontId="10" fillId="36" borderId="1" xfId="76" applyNumberFormat="1" applyFont="1" applyFill="1" applyAlignment="1">
      <alignment horizontal="left"/>
    </xf>
    <xf numFmtId="49" fontId="11" fillId="36" borderId="2" xfId="73" applyNumberFormat="1" applyFont="1" applyFill="1" applyBorder="1" applyAlignment="1">
      <alignment horizontal="left"/>
    </xf>
    <xf numFmtId="49" fontId="11" fillId="36" borderId="1" xfId="76" applyNumberFormat="1" applyFont="1" applyFill="1" applyAlignment="1">
      <alignment horizontal="left"/>
    </xf>
    <xf numFmtId="49" fontId="11" fillId="36" borderId="1" xfId="76" applyNumberFormat="1" applyFont="1" applyFill="1" applyAlignment="1">
      <alignment horizontal="left" wrapText="1"/>
    </xf>
    <xf numFmtId="49" fontId="54" fillId="38" borderId="34" xfId="73" applyNumberFormat="1" applyFont="1" applyFill="1" applyAlignment="1">
      <alignment horizontal="right" wrapText="1"/>
    </xf>
    <xf numFmtId="49" fontId="55" fillId="38" borderId="34" xfId="73" applyNumberFormat="1" applyFont="1" applyFill="1" applyAlignment="1">
      <alignment horizontal="right" wrapText="1"/>
    </xf>
    <xf numFmtId="49" fontId="54" fillId="36" borderId="34" xfId="73" applyNumberFormat="1" applyFont="1" applyFill="1" applyAlignment="1">
      <alignment horizontal="right" wrapText="1"/>
    </xf>
    <xf numFmtId="49" fontId="55" fillId="36" borderId="34" xfId="73" applyNumberFormat="1" applyFont="1" applyFill="1" applyAlignment="1">
      <alignment horizontal="right" wrapText="1"/>
    </xf>
    <xf numFmtId="49" fontId="10" fillId="36" borderId="0" xfId="0" applyNumberFormat="1" applyFont="1" applyFill="1" applyAlignment="1">
      <alignment horizontal="left"/>
    </xf>
    <xf numFmtId="0" fontId="10" fillId="36" borderId="0" xfId="0" applyNumberFormat="1" applyFont="1" applyFill="1" applyAlignment="1">
      <alignment horizontal="left"/>
    </xf>
    <xf numFmtId="0" fontId="0" fillId="36" borderId="0" xfId="0" applyFill="1"/>
    <xf numFmtId="0" fontId="11" fillId="36" borderId="34" xfId="73" applyNumberFormat="1" applyFont="1" applyFill="1" applyAlignment="1">
      <alignment horizontal="left"/>
    </xf>
    <xf numFmtId="0" fontId="0" fillId="36" borderId="0" xfId="0" applyNumberFormat="1" applyFill="1"/>
    <xf numFmtId="49" fontId="10" fillId="36" borderId="1" xfId="76" applyNumberFormat="1" applyFont="1" applyFill="1" applyAlignment="1">
      <alignment horizontal="left" wrapText="1"/>
    </xf>
    <xf numFmtId="0" fontId="10" fillId="36" borderId="1" xfId="76" applyNumberFormat="1" applyFont="1" applyFill="1" applyAlignment="1">
      <alignment horizontal="left"/>
    </xf>
    <xf numFmtId="49" fontId="10" fillId="36" borderId="34" xfId="77" applyNumberFormat="1" applyFont="1" applyFill="1" applyBorder="1" applyAlignment="1">
      <alignment horizontal="left" wrapText="1"/>
    </xf>
    <xf numFmtId="49" fontId="11" fillId="36" borderId="34" xfId="73" applyNumberFormat="1" applyFont="1" applyFill="1" applyAlignment="1">
      <alignment horizontal="left"/>
    </xf>
    <xf numFmtId="49" fontId="10" fillId="36" borderId="0" xfId="0" applyNumberFormat="1" applyFont="1" applyFill="1" applyAlignment="1">
      <alignment horizontal="left" wrapText="1"/>
    </xf>
    <xf numFmtId="49" fontId="10" fillId="36" borderId="1" xfId="76" applyNumberFormat="1" applyFont="1" applyFill="1" applyAlignment="1">
      <alignment horizontal="left"/>
    </xf>
    <xf numFmtId="49" fontId="10" fillId="36" borderId="34" xfId="77" applyNumberFormat="1" applyFont="1" applyFill="1" applyBorder="1" applyAlignment="1">
      <alignment horizontal="left"/>
    </xf>
    <xf numFmtId="49" fontId="11" fillId="36" borderId="34" xfId="80" applyNumberFormat="1" applyFont="1" applyFill="1" applyAlignment="1">
      <alignment horizontal="left"/>
    </xf>
    <xf numFmtId="49" fontId="11" fillId="36" borderId="1" xfId="76" applyNumberFormat="1" applyFont="1" applyFill="1" applyAlignment="1">
      <alignment horizontal="left" wrapText="1"/>
    </xf>
    <xf numFmtId="49" fontId="11" fillId="36" borderId="1" xfId="76" applyNumberFormat="1" applyFont="1" applyFill="1" applyAlignment="1">
      <alignment horizontal="left"/>
    </xf>
    <xf numFmtId="49" fontId="11" fillId="36" borderId="34" xfId="73" applyNumberFormat="1" applyFont="1" applyFill="1" applyAlignment="1">
      <alignment horizontal="left" wrapText="1"/>
    </xf>
    <xf numFmtId="49" fontId="11" fillId="36" borderId="34" xfId="80" applyNumberFormat="1" applyFont="1" applyFill="1" applyAlignment="1">
      <alignment horizontal="left" wrapText="1"/>
    </xf>
    <xf numFmtId="0" fontId="10" fillId="36" borderId="0" xfId="3" applyNumberFormat="1" applyFont="1" applyFill="1" applyAlignment="1">
      <alignment horizontal="left" wrapText="1"/>
    </xf>
    <xf numFmtId="49" fontId="11" fillId="36" borderId="0" xfId="3" applyNumberFormat="1" applyFont="1" applyFill="1" applyAlignment="1">
      <alignment horizontal="left"/>
    </xf>
    <xf numFmtId="49" fontId="10" fillId="36" borderId="0" xfId="0" applyNumberFormat="1" applyFont="1" applyFill="1" applyAlignment="1">
      <alignment horizontal="left"/>
    </xf>
    <xf numFmtId="0" fontId="10" fillId="36" borderId="1" xfId="76" applyNumberFormat="1" applyFont="1" applyFill="1" applyAlignment="1">
      <alignment horizontal="left" wrapText="1"/>
    </xf>
    <xf numFmtId="49" fontId="10" fillId="36" borderId="0" xfId="3" applyNumberFormat="1" applyFont="1" applyFill="1" applyAlignment="1">
      <alignment horizontal="left" wrapText="1"/>
    </xf>
    <xf numFmtId="0" fontId="10" fillId="36" borderId="0" xfId="0" applyNumberFormat="1" applyFont="1" applyFill="1" applyAlignment="1">
      <alignment horizontal="left"/>
    </xf>
    <xf numFmtId="49" fontId="11" fillId="36" borderId="0" xfId="0" applyNumberFormat="1" applyFont="1" applyFill="1" applyAlignment="1">
      <alignment horizontal="left" wrapText="1"/>
    </xf>
    <xf numFmtId="0" fontId="0" fillId="36" borderId="0" xfId="0" applyFill="1"/>
    <xf numFmtId="0" fontId="10" fillId="36" borderId="0" xfId="0" applyNumberFormat="1" applyFont="1" applyFill="1" applyAlignment="1">
      <alignment horizontal="left" wrapText="1"/>
    </xf>
    <xf numFmtId="0" fontId="11" fillId="36" borderId="0" xfId="0" applyNumberFormat="1" applyFont="1" applyFill="1" applyAlignment="1">
      <alignment horizontal="left"/>
    </xf>
    <xf numFmtId="49" fontId="10" fillId="36" borderId="34" xfId="73" applyNumberFormat="1" applyFont="1" applyFill="1" applyAlignment="1">
      <alignment horizontal="left" wrapText="1"/>
    </xf>
    <xf numFmtId="49" fontId="0" fillId="36" borderId="0" xfId="0" applyNumberFormat="1" applyFill="1" applyAlignment="1">
      <alignment horizontal="left"/>
    </xf>
    <xf numFmtId="49" fontId="11" fillId="38" borderId="34" xfId="73" applyNumberFormat="1" applyFont="1" applyFill="1" applyAlignment="1">
      <alignment horizontal="right" wrapText="1"/>
    </xf>
    <xf numFmtId="49" fontId="11" fillId="36" borderId="0" xfId="0" applyNumberFormat="1" applyFont="1" applyFill="1" applyAlignment="1">
      <alignment horizontal="left"/>
    </xf>
    <xf numFmtId="0" fontId="10" fillId="36" borderId="34" xfId="77" applyNumberFormat="1" applyFont="1" applyFill="1" applyBorder="1" applyAlignment="1">
      <alignment horizontal="left"/>
    </xf>
    <xf numFmtId="0" fontId="11" fillId="36" borderId="34" xfId="73" applyNumberFormat="1" applyFont="1" applyFill="1" applyAlignment="1">
      <alignment horizontal="left"/>
    </xf>
    <xf numFmtId="0" fontId="11" fillId="36" borderId="1" xfId="76" applyNumberFormat="1" applyFont="1" applyFill="1" applyAlignment="1">
      <alignment horizontal="left" wrapText="1"/>
    </xf>
    <xf numFmtId="49" fontId="11" fillId="36" borderId="0" xfId="75" applyNumberFormat="1" applyFont="1" applyFill="1" applyBorder="1" applyAlignment="1">
      <alignment horizontal="left"/>
    </xf>
    <xf numFmtId="49" fontId="0" fillId="36" borderId="1" xfId="76" applyNumberFormat="1" applyFont="1" applyFill="1" applyAlignment="1"/>
    <xf numFmtId="1" fontId="11" fillId="36" borderId="34" xfId="73" quotePrefix="1" applyNumberFormat="1" applyFont="1" applyFill="1" applyAlignment="1">
      <alignment horizontal="right" wrapText="1"/>
    </xf>
    <xf numFmtId="1" fontId="11" fillId="38" borderId="34" xfId="73" quotePrefix="1" applyNumberFormat="1" applyFont="1" applyFill="1" applyAlignment="1">
      <alignment horizontal="right" wrapText="1"/>
    </xf>
    <xf numFmtId="3" fontId="10" fillId="0" borderId="1" xfId="76" applyNumberFormat="1" applyFont="1" applyFill="1" applyAlignment="1">
      <alignment horizontal="right"/>
    </xf>
    <xf numFmtId="164" fontId="10" fillId="0" borderId="1" xfId="76" applyNumberFormat="1" applyFont="1" applyFill="1" applyAlignment="1">
      <alignment horizontal="right"/>
    </xf>
    <xf numFmtId="1" fontId="11" fillId="36" borderId="1" xfId="76" applyNumberFormat="1" applyFont="1" applyFill="1" applyAlignment="1">
      <alignment horizontal="right"/>
    </xf>
    <xf numFmtId="4" fontId="11" fillId="38" borderId="1" xfId="76" applyNumberFormat="1" applyFont="1" applyFill="1" applyAlignment="1">
      <alignment horizontal="right"/>
    </xf>
    <xf numFmtId="4" fontId="10" fillId="36" borderId="1" xfId="76" applyNumberFormat="1" applyFont="1" applyFill="1" applyAlignment="1">
      <alignment horizontal="right"/>
    </xf>
    <xf numFmtId="49" fontId="10" fillId="36" borderId="0" xfId="66" applyNumberFormat="1" applyFont="1" applyFill="1" applyBorder="1" applyAlignment="1">
      <alignment horizontal="right"/>
    </xf>
    <xf numFmtId="49" fontId="10" fillId="36" borderId="0" xfId="0" applyNumberFormat="1" applyFont="1" applyFill="1" applyAlignment="1">
      <alignment horizontal="right" vertical="center" wrapText="1"/>
    </xf>
    <xf numFmtId="49" fontId="10" fillId="36" borderId="1" xfId="76" applyNumberFormat="1" applyFont="1" applyFill="1" applyAlignment="1"/>
    <xf numFmtId="49" fontId="10" fillId="36" borderId="1" xfId="76" applyNumberFormat="1" applyFont="1" applyFill="1" applyAlignment="1">
      <alignment horizontal="left" wrapText="1" indent="1"/>
    </xf>
    <xf numFmtId="49" fontId="43" fillId="36" borderId="1" xfId="76" applyNumberFormat="1" applyFont="1" applyFill="1" applyAlignment="1">
      <alignment horizontal="left"/>
    </xf>
    <xf numFmtId="49" fontId="36" fillId="36" borderId="1" xfId="76" applyNumberFormat="1" applyFont="1" applyFill="1" applyAlignment="1"/>
    <xf numFmtId="49" fontId="36" fillId="36" borderId="1" xfId="76" applyNumberFormat="1" applyFont="1" applyFill="1" applyAlignment="1">
      <alignment horizontal="left"/>
    </xf>
    <xf numFmtId="49" fontId="10" fillId="36" borderId="34" xfId="77" applyNumberFormat="1" applyFont="1" applyFill="1" applyBorder="1" applyAlignment="1">
      <alignment horizontal="left" wrapText="1" indent="1"/>
    </xf>
    <xf numFmtId="49" fontId="54" fillId="0" borderId="34" xfId="73" applyNumberFormat="1" applyFont="1" applyFill="1" applyAlignment="1">
      <alignment horizontal="right" wrapText="1"/>
    </xf>
    <xf numFmtId="0" fontId="11" fillId="38" borderId="34" xfId="73" quotePrefix="1" applyNumberFormat="1" applyFont="1" applyFill="1" applyAlignment="1">
      <alignment horizontal="right" wrapText="1"/>
    </xf>
    <xf numFmtId="0" fontId="11" fillId="36" borderId="34" xfId="73" quotePrefix="1" applyNumberFormat="1" applyFont="1" applyFill="1" applyAlignment="1">
      <alignment horizontal="right"/>
    </xf>
    <xf numFmtId="3" fontId="57" fillId="36" borderId="34" xfId="77" applyNumberFormat="1" applyFont="1" applyFill="1" applyBorder="1" applyAlignment="1">
      <alignment horizontal="right"/>
    </xf>
    <xf numFmtId="49" fontId="57" fillId="36" borderId="0" xfId="0" applyNumberFormat="1" applyFont="1" applyFill="1" applyAlignment="1"/>
    <xf numFmtId="49" fontId="57" fillId="36" borderId="0" xfId="79" applyNumberFormat="1" applyFont="1" applyFill="1" applyAlignment="1"/>
    <xf numFmtId="49" fontId="46" fillId="36" borderId="0" xfId="3" applyNumberFormat="1" applyFont="1" applyFill="1" applyAlignment="1">
      <alignment horizontal="left"/>
    </xf>
    <xf numFmtId="3" fontId="58" fillId="38" borderId="1" xfId="76" applyNumberFormat="1" applyFont="1" applyFill="1" applyAlignment="1">
      <alignment horizontal="right"/>
    </xf>
    <xf numFmtId="3" fontId="10" fillId="36" borderId="1" xfId="76" quotePrefix="1" applyNumberFormat="1" applyFont="1" applyFill="1" applyAlignment="1">
      <alignment horizontal="right"/>
    </xf>
    <xf numFmtId="3" fontId="10" fillId="36" borderId="34" xfId="80" quotePrefix="1" applyNumberFormat="1" applyFont="1" applyFill="1" applyAlignment="1">
      <alignment horizontal="right"/>
    </xf>
    <xf numFmtId="49" fontId="10" fillId="0" borderId="34" xfId="77" applyNumberFormat="1" applyFont="1" applyFill="1" applyBorder="1" applyAlignment="1">
      <alignment horizontal="left"/>
    </xf>
    <xf numFmtId="49" fontId="11" fillId="36" borderId="34" xfId="77" applyNumberFormat="1" applyFont="1" applyFill="1" applyBorder="1" applyAlignment="1">
      <alignment horizontal="left"/>
    </xf>
    <xf numFmtId="1" fontId="10" fillId="36" borderId="1" xfId="76" applyNumberFormat="1" applyFont="1" applyFill="1" applyAlignment="1">
      <alignment horizontal="right"/>
    </xf>
    <xf numFmtId="1" fontId="11" fillId="38" borderId="34" xfId="77" applyNumberFormat="1" applyFont="1" applyFill="1" applyBorder="1" applyAlignment="1">
      <alignment horizontal="right"/>
    </xf>
    <xf numFmtId="1" fontId="10" fillId="36" borderId="34" xfId="80" applyNumberFormat="1" applyFont="1" applyFill="1" applyAlignment="1">
      <alignment horizontal="right"/>
    </xf>
    <xf numFmtId="49" fontId="10" fillId="38" borderId="0" xfId="0" applyNumberFormat="1" applyFont="1" applyFill="1" applyAlignment="1">
      <alignment horizontal="right"/>
    </xf>
    <xf numFmtId="49" fontId="11" fillId="38" borderId="0" xfId="75" applyNumberFormat="1" applyFont="1" applyFill="1" applyAlignment="1">
      <alignment horizontal="right"/>
    </xf>
    <xf numFmtId="49" fontId="11" fillId="36" borderId="0" xfId="75" applyNumberFormat="1" applyFont="1" applyFill="1" applyAlignment="1">
      <alignment horizontal="right"/>
    </xf>
    <xf numFmtId="49" fontId="11" fillId="38" borderId="34" xfId="73" applyNumberFormat="1" applyFont="1" applyFill="1" applyAlignment="1">
      <alignment horizontal="right"/>
    </xf>
    <xf numFmtId="49" fontId="10" fillId="36" borderId="34" xfId="77" applyNumberFormat="1" applyFont="1" applyFill="1" applyBorder="1" applyAlignment="1">
      <alignment horizontal="right"/>
    </xf>
    <xf numFmtId="49" fontId="10" fillId="36" borderId="34" xfId="73" applyNumberFormat="1" applyFont="1" applyFill="1" applyAlignment="1">
      <alignment horizontal="left"/>
    </xf>
    <xf numFmtId="49" fontId="10" fillId="36" borderId="30" xfId="73" applyNumberFormat="1" applyFont="1" applyFill="1" applyBorder="1" applyAlignment="1">
      <alignment wrapText="1"/>
    </xf>
    <xf numFmtId="49" fontId="10" fillId="36" borderId="1" xfId="76" applyNumberFormat="1" applyFont="1" applyFill="1" applyAlignment="1">
      <alignment wrapText="1"/>
    </xf>
    <xf numFmtId="49" fontId="10" fillId="36" borderId="0" xfId="3" applyNumberFormat="1" applyFont="1" applyFill="1" applyBorder="1" applyAlignment="1">
      <alignment horizontal="right"/>
    </xf>
    <xf numFmtId="1" fontId="0" fillId="38" borderId="1" xfId="76" applyNumberFormat="1" applyFont="1" applyFill="1" applyAlignment="1"/>
    <xf numFmtId="1" fontId="0" fillId="36" borderId="1" xfId="76" applyNumberFormat="1" applyFont="1" applyFill="1" applyAlignment="1"/>
    <xf numFmtId="1" fontId="10" fillId="38" borderId="1" xfId="76" applyNumberFormat="1" applyFont="1" applyFill="1" applyAlignment="1"/>
    <xf numFmtId="1" fontId="10" fillId="36" borderId="1" xfId="76" applyNumberFormat="1" applyFont="1" applyFill="1" applyAlignment="1"/>
    <xf numFmtId="49" fontId="10" fillId="36" borderId="26" xfId="0" applyNumberFormat="1" applyFont="1" applyFill="1" applyBorder="1" applyAlignment="1">
      <alignment horizontal="left"/>
    </xf>
    <xf numFmtId="49" fontId="0" fillId="36" borderId="0" xfId="64" applyNumberFormat="1" applyFont="1" applyFill="1" applyBorder="1" applyAlignment="1"/>
    <xf numFmtId="49" fontId="0" fillId="36" borderId="0" xfId="83" applyNumberFormat="1" applyFont="1" applyFill="1"/>
    <xf numFmtId="49" fontId="14" fillId="36" borderId="34" xfId="73" applyNumberFormat="1" applyFont="1" applyFill="1" applyAlignment="1"/>
    <xf numFmtId="49" fontId="0" fillId="36" borderId="34" xfId="73" applyNumberFormat="1" applyFont="1" applyFill="1" applyAlignment="1">
      <alignment horizontal="right"/>
    </xf>
    <xf numFmtId="49" fontId="0" fillId="36" borderId="1" xfId="76" applyNumberFormat="1" applyFont="1" applyFill="1" applyAlignment="1">
      <alignment horizontal="right"/>
    </xf>
    <xf numFmtId="49" fontId="0" fillId="36" borderId="34" xfId="77" applyNumberFormat="1" applyFont="1" applyFill="1" applyBorder="1" applyAlignment="1">
      <alignment horizontal="right"/>
    </xf>
    <xf numFmtId="49" fontId="10" fillId="36" borderId="0" xfId="0" applyNumberFormat="1" applyFont="1" applyFill="1"/>
    <xf numFmtId="49" fontId="0" fillId="36" borderId="0" xfId="0" applyNumberFormat="1" applyFill="1" applyAlignment="1">
      <alignment horizontal="right"/>
    </xf>
    <xf numFmtId="1" fontId="10" fillId="38" borderId="1" xfId="76" applyNumberFormat="1" applyFont="1" applyFill="1" applyAlignment="1">
      <alignment horizontal="left" wrapText="1"/>
    </xf>
    <xf numFmtId="1" fontId="11" fillId="38" borderId="1" xfId="76" applyNumberFormat="1" applyFont="1" applyFill="1" applyAlignment="1">
      <alignment horizontal="right" wrapText="1"/>
    </xf>
    <xf numFmtId="1" fontId="10" fillId="36" borderId="1" xfId="76" applyNumberFormat="1" applyFont="1" applyFill="1" applyAlignment="1">
      <alignment horizontal="right" wrapText="1"/>
    </xf>
    <xf numFmtId="1" fontId="11" fillId="38" borderId="1" xfId="76" applyNumberFormat="1" applyFont="1" applyFill="1" applyAlignment="1">
      <alignment horizontal="left" wrapText="1"/>
    </xf>
    <xf numFmtId="1" fontId="10" fillId="36" borderId="1" xfId="76" applyNumberFormat="1" applyFont="1" applyFill="1" applyAlignment="1">
      <alignment horizontal="left" wrapText="1"/>
    </xf>
    <xf numFmtId="2" fontId="0" fillId="36" borderId="0" xfId="0" applyNumberFormat="1" applyFill="1"/>
    <xf numFmtId="49" fontId="0" fillId="36" borderId="0" xfId="67" applyNumberFormat="1" applyFont="1" applyFill="1" applyBorder="1" applyAlignment="1"/>
    <xf numFmtId="49" fontId="10" fillId="36" borderId="1" xfId="76" applyNumberFormat="1" applyFont="1" applyFill="1" applyAlignment="1">
      <alignment horizontal="left" wrapText="1"/>
    </xf>
    <xf numFmtId="49" fontId="10" fillId="36" borderId="1" xfId="76" applyNumberFormat="1" applyFont="1" applyFill="1" applyAlignment="1">
      <alignment horizontal="left"/>
    </xf>
    <xf numFmtId="49" fontId="11" fillId="36" borderId="30" xfId="73" applyNumberFormat="1" applyFont="1" applyFill="1" applyBorder="1" applyAlignment="1">
      <alignment horizontal="left"/>
    </xf>
    <xf numFmtId="3" fontId="58" fillId="38" borderId="1" xfId="76" applyNumberFormat="1" applyFont="1" applyFill="1" applyAlignment="1"/>
    <xf numFmtId="3" fontId="57" fillId="36" borderId="1" xfId="76" applyNumberFormat="1" applyFont="1" applyFill="1" applyAlignment="1"/>
    <xf numFmtId="165" fontId="58" fillId="38" borderId="1" xfId="76" applyNumberFormat="1" applyFont="1" applyFill="1" applyAlignment="1">
      <alignment horizontal="right"/>
    </xf>
    <xf numFmtId="165" fontId="57" fillId="36" borderId="1" xfId="76" applyNumberFormat="1" applyFont="1" applyFill="1" applyAlignment="1">
      <alignment horizontal="right"/>
    </xf>
    <xf numFmtId="2" fontId="58" fillId="38" borderId="1" xfId="76" applyNumberFormat="1" applyFont="1" applyFill="1" applyAlignment="1">
      <alignment horizontal="right"/>
    </xf>
    <xf numFmtId="3" fontId="57" fillId="36" borderId="1" xfId="76" applyNumberFormat="1" applyFont="1" applyFill="1" applyAlignment="1">
      <alignment horizontal="right"/>
    </xf>
    <xf numFmtId="0" fontId="58" fillId="38" borderId="1" xfId="76" applyFont="1" applyFill="1" applyAlignment="1">
      <alignment horizontal="right"/>
    </xf>
    <xf numFmtId="0" fontId="57" fillId="36" borderId="1" xfId="76" applyFont="1" applyFill="1" applyAlignment="1">
      <alignment horizontal="right"/>
    </xf>
    <xf numFmtId="0" fontId="58" fillId="38" borderId="1" xfId="76" applyNumberFormat="1" applyFont="1" applyFill="1" applyAlignment="1">
      <alignment horizontal="right"/>
    </xf>
    <xf numFmtId="0" fontId="57" fillId="36" borderId="1" xfId="76" applyNumberFormat="1" applyFont="1" applyFill="1" applyAlignment="1">
      <alignment horizontal="right"/>
    </xf>
    <xf numFmtId="2" fontId="57" fillId="36" borderId="1" xfId="76" applyNumberFormat="1" applyFont="1" applyFill="1" applyAlignment="1">
      <alignment horizontal="right"/>
    </xf>
    <xf numFmtId="164" fontId="58" fillId="38" borderId="1" xfId="76" applyNumberFormat="1" applyFont="1" applyFill="1" applyAlignment="1">
      <alignment horizontal="right"/>
    </xf>
    <xf numFmtId="164" fontId="57" fillId="36" borderId="1" xfId="76" applyNumberFormat="1" applyFont="1" applyFill="1" applyAlignment="1">
      <alignment horizontal="right"/>
    </xf>
    <xf numFmtId="164" fontId="57" fillId="36" borderId="34" xfId="77" applyNumberFormat="1" applyFont="1" applyFill="1" applyBorder="1" applyAlignment="1">
      <alignment horizontal="right"/>
    </xf>
    <xf numFmtId="49" fontId="10" fillId="36" borderId="1" xfId="76" applyNumberFormat="1" applyFont="1" applyFill="1" applyAlignment="1">
      <alignment horizontal="left"/>
    </xf>
    <xf numFmtId="49" fontId="10" fillId="36" borderId="1" xfId="76" applyNumberFormat="1" applyFont="1" applyFill="1" applyAlignment="1">
      <alignment horizontal="left"/>
    </xf>
    <xf numFmtId="0" fontId="0" fillId="36" borderId="0" xfId="0" applyFill="1"/>
    <xf numFmtId="49" fontId="10" fillId="36" borderId="1" xfId="76" applyNumberFormat="1" applyFont="1" applyFill="1" applyAlignment="1">
      <alignment horizontal="left"/>
    </xf>
    <xf numFmtId="49" fontId="10" fillId="36" borderId="1" xfId="76" applyNumberFormat="1" applyFont="1" applyFill="1" applyAlignment="1"/>
    <xf numFmtId="0" fontId="0" fillId="36" borderId="0" xfId="0" applyFill="1"/>
    <xf numFmtId="0" fontId="0" fillId="36" borderId="0" xfId="0" applyNumberFormat="1" applyFill="1"/>
    <xf numFmtId="49" fontId="11" fillId="36" borderId="34" xfId="73" applyNumberFormat="1" applyFont="1" applyFill="1" applyAlignment="1">
      <alignment horizontal="left" wrapText="1"/>
    </xf>
    <xf numFmtId="0" fontId="0" fillId="36" borderId="0" xfId="0" applyFill="1"/>
    <xf numFmtId="1" fontId="58" fillId="38" borderId="34" xfId="73" applyNumberFormat="1" applyFont="1" applyFill="1" applyAlignment="1">
      <alignment horizontal="right"/>
    </xf>
    <xf numFmtId="0" fontId="14" fillId="36" borderId="34" xfId="73" applyNumberFormat="1" applyFont="1" applyFill="1" applyAlignment="1"/>
    <xf numFmtId="3" fontId="11" fillId="36" borderId="34" xfId="73" applyNumberFormat="1" applyFont="1" applyFill="1" applyAlignment="1">
      <alignment horizontal="right"/>
    </xf>
    <xf numFmtId="0" fontId="0" fillId="36" borderId="0" xfId="0" applyFill="1"/>
    <xf numFmtId="49" fontId="10" fillId="36" borderId="0" xfId="0" applyNumberFormat="1" applyFont="1" applyFill="1" applyAlignment="1">
      <alignment horizontal="left"/>
    </xf>
    <xf numFmtId="164" fontId="11" fillId="38" borderId="1" xfId="76" quotePrefix="1" applyNumberFormat="1" applyFont="1" applyFill="1" applyAlignment="1">
      <alignment horizontal="right"/>
    </xf>
    <xf numFmtId="0" fontId="0" fillId="36" borderId="0" xfId="0" applyNumberFormat="1" applyFill="1"/>
    <xf numFmtId="49" fontId="10" fillId="36" borderId="1" xfId="76" applyNumberFormat="1" applyFont="1" applyFill="1" applyAlignment="1">
      <alignment horizontal="left"/>
    </xf>
    <xf numFmtId="49" fontId="11" fillId="36" borderId="1" xfId="76" applyNumberFormat="1" applyFont="1" applyFill="1" applyAlignment="1">
      <alignment horizontal="left"/>
    </xf>
    <xf numFmtId="49" fontId="11" fillId="36" borderId="34" xfId="73" applyNumberFormat="1" applyFont="1" applyFill="1" applyAlignment="1">
      <alignment horizontal="left"/>
    </xf>
    <xf numFmtId="49" fontId="10" fillId="36" borderId="34" xfId="77" applyNumberFormat="1" applyFont="1" applyFill="1" applyBorder="1" applyAlignment="1">
      <alignment horizontal="left" wrapText="1"/>
    </xf>
    <xf numFmtId="0" fontId="11" fillId="36" borderId="1" xfId="76" applyNumberFormat="1" applyFont="1" applyFill="1" applyAlignment="1">
      <alignment horizontal="left"/>
    </xf>
    <xf numFmtId="0" fontId="10" fillId="36" borderId="0" xfId="0" applyNumberFormat="1" applyFont="1" applyFill="1" applyAlignment="1">
      <alignment horizontal="left"/>
    </xf>
    <xf numFmtId="0" fontId="0" fillId="36" borderId="0" xfId="0" applyFill="1"/>
    <xf numFmtId="49" fontId="10" fillId="36" borderId="1" xfId="76" applyNumberFormat="1" applyFont="1" applyFill="1" applyAlignment="1">
      <alignment horizontal="left" indent="2"/>
    </xf>
    <xf numFmtId="49" fontId="10" fillId="36" borderId="34" xfId="77" applyNumberFormat="1" applyFont="1" applyFill="1" applyBorder="1" applyAlignment="1">
      <alignment horizontal="left"/>
    </xf>
    <xf numFmtId="3" fontId="58" fillId="36" borderId="1" xfId="76" applyNumberFormat="1" applyFont="1" applyFill="1" applyAlignment="1">
      <alignment horizontal="left"/>
    </xf>
    <xf numFmtId="0" fontId="13" fillId="36" borderId="34" xfId="77" applyFont="1" applyFill="1" applyBorder="1" applyAlignment="1" applyProtection="1">
      <alignment horizontal="right"/>
    </xf>
    <xf numFmtId="0" fontId="6" fillId="36" borderId="34" xfId="77" applyNumberFormat="1" applyFont="1" applyFill="1" applyBorder="1" applyAlignment="1"/>
    <xf numFmtId="0" fontId="6" fillId="36" borderId="34" xfId="77" applyFont="1" applyFill="1" applyBorder="1" applyAlignment="1"/>
    <xf numFmtId="49" fontId="36" fillId="36" borderId="34" xfId="77" applyNumberFormat="1" applyFont="1" applyFill="1" applyBorder="1" applyAlignment="1"/>
    <xf numFmtId="0" fontId="56" fillId="36" borderId="34" xfId="77" applyNumberFormat="1" applyFont="1" applyFill="1" applyBorder="1" applyAlignment="1" applyProtection="1">
      <alignment horizontal="right"/>
    </xf>
    <xf numFmtId="3" fontId="75" fillId="36" borderId="34" xfId="77" applyNumberFormat="1" applyFont="1" applyFill="1" applyBorder="1" applyAlignment="1">
      <alignment horizontal="right"/>
    </xf>
    <xf numFmtId="0" fontId="11" fillId="38" borderId="34" xfId="77" applyNumberFormat="1" applyFont="1" applyFill="1" applyBorder="1" applyAlignment="1">
      <alignment horizontal="left"/>
    </xf>
    <xf numFmtId="3" fontId="56" fillId="36" borderId="34" xfId="77" applyNumberFormat="1" applyFont="1" applyFill="1" applyBorder="1" applyAlignment="1" applyProtection="1">
      <alignment horizontal="right"/>
    </xf>
    <xf numFmtId="49" fontId="10" fillId="36" borderId="1" xfId="76" applyNumberFormat="1" applyFont="1" applyFill="1" applyAlignment="1">
      <alignment horizontal="left" wrapText="1" indent="2"/>
    </xf>
    <xf numFmtId="49" fontId="10" fillId="36" borderId="34" xfId="77" applyNumberFormat="1" applyFont="1" applyFill="1" applyBorder="1" applyAlignment="1">
      <alignment horizontal="left" wrapText="1" indent="2"/>
    </xf>
    <xf numFmtId="0" fontId="10" fillId="36" borderId="0" xfId="0" applyNumberFormat="1" applyFont="1" applyFill="1" applyAlignment="1">
      <alignment horizontal="left"/>
    </xf>
    <xf numFmtId="0" fontId="0" fillId="36" borderId="0" xfId="0" applyFill="1"/>
    <xf numFmtId="49" fontId="10" fillId="36" borderId="0" xfId="0" applyNumberFormat="1" applyFont="1" applyFill="1" applyAlignment="1">
      <alignment horizontal="left"/>
    </xf>
    <xf numFmtId="3" fontId="58" fillId="38" borderId="34" xfId="80" applyNumberFormat="1" applyFont="1" applyFill="1" applyAlignment="1">
      <alignment horizontal="right"/>
    </xf>
    <xf numFmtId="49" fontId="10" fillId="36" borderId="0" xfId="0" applyNumberFormat="1" applyFont="1" applyFill="1" applyAlignment="1">
      <alignment horizontal="left"/>
    </xf>
    <xf numFmtId="0" fontId="0" fillId="36" borderId="0" xfId="0" applyNumberFormat="1" applyFill="1"/>
    <xf numFmtId="0" fontId="0" fillId="36" borderId="0" xfId="0" applyFill="1"/>
    <xf numFmtId="0" fontId="0" fillId="36" borderId="0" xfId="0" applyFill="1"/>
    <xf numFmtId="49" fontId="11" fillId="36" borderId="34" xfId="73" applyNumberFormat="1" applyFont="1" applyFill="1" applyAlignment="1">
      <alignment horizontal="left"/>
    </xf>
    <xf numFmtId="49" fontId="11" fillId="36" borderId="34" xfId="73" applyNumberFormat="1" applyFont="1" applyFill="1" applyAlignment="1">
      <alignment horizontal="left" wrapText="1"/>
    </xf>
    <xf numFmtId="0" fontId="0" fillId="36" borderId="0" xfId="0" applyFill="1"/>
    <xf numFmtId="49" fontId="14" fillId="36" borderId="0" xfId="0" applyNumberFormat="1" applyFont="1" applyFill="1" applyBorder="1" applyAlignment="1">
      <alignment horizontal="left" wrapText="1"/>
    </xf>
    <xf numFmtId="49" fontId="10" fillId="36" borderId="1" xfId="76" applyNumberFormat="1" applyFont="1" applyFill="1" applyAlignment="1">
      <alignment horizontal="left" wrapText="1"/>
    </xf>
    <xf numFmtId="49" fontId="10" fillId="36" borderId="1" xfId="76" applyNumberFormat="1" applyFont="1" applyFill="1" applyAlignment="1"/>
    <xf numFmtId="49" fontId="10" fillId="36" borderId="1" xfId="76" applyNumberFormat="1" applyFont="1" applyFill="1" applyAlignment="1">
      <alignment horizontal="left" wrapText="1" indent="2"/>
    </xf>
    <xf numFmtId="0" fontId="0" fillId="36" borderId="0" xfId="0" applyFill="1"/>
    <xf numFmtId="0" fontId="0" fillId="36" borderId="0" xfId="0" applyFill="1"/>
    <xf numFmtId="1" fontId="11" fillId="38" borderId="34" xfId="77" quotePrefix="1" applyNumberFormat="1" applyFont="1" applyFill="1" applyBorder="1" applyAlignment="1">
      <alignment horizontal="right"/>
    </xf>
    <xf numFmtId="1" fontId="14" fillId="38" borderId="1" xfId="76" applyNumberFormat="1" applyFont="1" applyFill="1" applyAlignment="1">
      <alignment horizontal="right"/>
    </xf>
    <xf numFmtId="49" fontId="0" fillId="36" borderId="0" xfId="0" applyNumberFormat="1" applyFill="1" applyAlignment="1">
      <alignment horizontal="left"/>
    </xf>
    <xf numFmtId="49" fontId="11" fillId="36" borderId="0" xfId="3" applyNumberFormat="1" applyFont="1" applyFill="1" applyAlignment="1">
      <alignment horizontal="left"/>
    </xf>
    <xf numFmtId="0" fontId="0" fillId="36" borderId="0" xfId="0" applyFill="1"/>
    <xf numFmtId="0" fontId="57" fillId="38" borderId="1" xfId="76" applyNumberFormat="1" applyFont="1" applyFill="1" applyAlignment="1"/>
    <xf numFmtId="0" fontId="0" fillId="36" borderId="0" xfId="0" applyFill="1"/>
    <xf numFmtId="49" fontId="10" fillId="36" borderId="0" xfId="0" applyNumberFormat="1" applyFont="1" applyFill="1" applyAlignment="1">
      <alignment wrapText="1"/>
    </xf>
    <xf numFmtId="49" fontId="10" fillId="36" borderId="1" xfId="76" applyNumberFormat="1" applyFont="1" applyFill="1" applyAlignment="1">
      <alignment horizontal="left"/>
    </xf>
    <xf numFmtId="0" fontId="0" fillId="36" borderId="0" xfId="0" applyFill="1"/>
    <xf numFmtId="0" fontId="10" fillId="36" borderId="1" xfId="76" applyNumberFormat="1" applyFont="1" applyFill="1" applyAlignment="1">
      <alignment horizontal="left"/>
    </xf>
    <xf numFmtId="49" fontId="10" fillId="36" borderId="1" xfId="76" applyNumberFormat="1" applyFont="1" applyFill="1" applyAlignment="1">
      <alignment horizontal="left"/>
    </xf>
    <xf numFmtId="0" fontId="0" fillId="36" borderId="0" xfId="0" applyFill="1"/>
    <xf numFmtId="3" fontId="11" fillId="38" borderId="34" xfId="77" quotePrefix="1" applyNumberFormat="1" applyFont="1" applyFill="1" applyBorder="1" applyAlignment="1">
      <alignment horizontal="right"/>
    </xf>
    <xf numFmtId="49" fontId="10" fillId="36" borderId="1" xfId="76" applyNumberFormat="1" applyFont="1" applyFill="1" applyAlignment="1">
      <alignment horizontal="left" wrapText="1"/>
    </xf>
    <xf numFmtId="49" fontId="10" fillId="36" borderId="1" xfId="76" applyNumberFormat="1" applyFont="1" applyFill="1" applyAlignment="1">
      <alignment horizontal="left" wrapText="1" indent="2"/>
    </xf>
    <xf numFmtId="0" fontId="0" fillId="36" borderId="0" xfId="0" applyFill="1"/>
    <xf numFmtId="49" fontId="10" fillId="36" borderId="1" xfId="76" applyNumberFormat="1" applyFont="1" applyFill="1" applyAlignment="1">
      <alignment horizontal="left" wrapText="1"/>
    </xf>
    <xf numFmtId="0" fontId="10" fillId="36" borderId="1" xfId="76" applyNumberFormat="1" applyFont="1" applyFill="1" applyAlignment="1">
      <alignment horizontal="left"/>
    </xf>
    <xf numFmtId="49" fontId="11" fillId="36" borderId="34" xfId="73" applyNumberFormat="1" applyFont="1" applyFill="1" applyAlignment="1">
      <alignment horizontal="left"/>
    </xf>
    <xf numFmtId="49" fontId="11" fillId="36" borderId="0" xfId="75" applyNumberFormat="1" applyFont="1" applyFill="1" applyBorder="1" applyAlignment="1">
      <alignment horizontal="left"/>
    </xf>
    <xf numFmtId="0" fontId="0" fillId="36" borderId="0" xfId="0" applyFill="1"/>
    <xf numFmtId="49" fontId="11" fillId="38" borderId="0" xfId="75" applyNumberFormat="1" applyFont="1" applyFill="1" applyBorder="1" applyAlignment="1">
      <alignment horizontal="left"/>
    </xf>
    <xf numFmtId="49" fontId="10" fillId="38" borderId="0" xfId="75" applyNumberFormat="1" applyFont="1" applyFill="1" applyBorder="1" applyAlignment="1">
      <alignment horizontal="right"/>
    </xf>
    <xf numFmtId="0" fontId="11" fillId="38" borderId="0" xfId="75" applyNumberFormat="1" applyFont="1" applyFill="1" applyBorder="1" applyAlignment="1">
      <alignment horizontal="right"/>
    </xf>
    <xf numFmtId="1" fontId="11" fillId="38" borderId="34" xfId="80" applyNumberFormat="1" applyFont="1" applyFill="1" applyAlignment="1">
      <alignment horizontal="right"/>
    </xf>
    <xf numFmtId="1" fontId="11" fillId="38" borderId="1" xfId="76" applyNumberFormat="1" applyFont="1" applyFill="1" applyAlignment="1"/>
    <xf numFmtId="49" fontId="10" fillId="36" borderId="1" xfId="76" applyNumberFormat="1" applyFont="1" applyFill="1" applyAlignment="1">
      <alignment horizontal="left"/>
    </xf>
    <xf numFmtId="49" fontId="10" fillId="36" borderId="34" xfId="77" applyNumberFormat="1" applyFont="1" applyFill="1" applyBorder="1" applyAlignment="1">
      <alignment horizontal="left"/>
    </xf>
    <xf numFmtId="0" fontId="10" fillId="36" borderId="0" xfId="0" applyNumberFormat="1" applyFont="1" applyFill="1" applyAlignment="1">
      <alignment horizontal="left"/>
    </xf>
    <xf numFmtId="0" fontId="0" fillId="36" borderId="0" xfId="0" applyFill="1"/>
    <xf numFmtId="0" fontId="10" fillId="36" borderId="1" xfId="76" applyNumberFormat="1" applyFont="1" applyFill="1" applyAlignment="1">
      <alignment horizontal="left"/>
    </xf>
    <xf numFmtId="49" fontId="10" fillId="36" borderId="1" xfId="76" applyNumberFormat="1" applyFont="1" applyFill="1" applyAlignment="1">
      <alignment horizontal="left"/>
    </xf>
    <xf numFmtId="49" fontId="11" fillId="36" borderId="34" xfId="80" applyNumberFormat="1" applyFont="1" applyFill="1" applyAlignment="1">
      <alignment horizontal="left"/>
    </xf>
    <xf numFmtId="0" fontId="0" fillId="36" borderId="0" xfId="0" applyFill="1"/>
    <xf numFmtId="3" fontId="58" fillId="36" borderId="34" xfId="80" applyNumberFormat="1" applyFont="1" applyFill="1" applyAlignment="1">
      <alignment horizontal="left"/>
    </xf>
    <xf numFmtId="3" fontId="11" fillId="38" borderId="34" xfId="80" quotePrefix="1" applyNumberFormat="1" applyFont="1" applyFill="1" applyAlignment="1">
      <alignment horizontal="right"/>
    </xf>
    <xf numFmtId="49" fontId="10" fillId="36" borderId="1" xfId="76" applyNumberFormat="1" applyFont="1" applyFill="1" applyAlignment="1">
      <alignment horizontal="left"/>
    </xf>
    <xf numFmtId="49" fontId="10" fillId="36" borderId="1" xfId="76" applyNumberFormat="1" applyFont="1" applyFill="1" applyAlignment="1">
      <alignment horizontal="left"/>
    </xf>
    <xf numFmtId="0" fontId="0" fillId="36" borderId="0" xfId="0" applyFill="1"/>
    <xf numFmtId="3" fontId="11" fillId="38" borderId="1" xfId="76" applyNumberFormat="1" applyFont="1" applyFill="1" applyAlignment="1">
      <alignment horizontal="left"/>
    </xf>
    <xf numFmtId="3" fontId="11" fillId="36" borderId="1" xfId="76" applyNumberFormat="1" applyFont="1" applyFill="1" applyAlignment="1">
      <alignment horizontal="left"/>
    </xf>
    <xf numFmtId="0" fontId="10" fillId="36" borderId="0" xfId="3" applyNumberFormat="1" applyFont="1" applyFill="1" applyAlignment="1">
      <alignment horizontal="left" wrapText="1"/>
    </xf>
    <xf numFmtId="0" fontId="0" fillId="36" borderId="0" xfId="0" applyFill="1"/>
    <xf numFmtId="0" fontId="0" fillId="36" borderId="0" xfId="0" applyFill="1"/>
    <xf numFmtId="0" fontId="10" fillId="36" borderId="1" xfId="76" applyNumberFormat="1" applyFont="1" applyFill="1" applyAlignment="1">
      <alignment horizontal="left"/>
    </xf>
    <xf numFmtId="49" fontId="11" fillId="36" borderId="1" xfId="76" applyNumberFormat="1" applyFont="1" applyFill="1" applyAlignment="1">
      <alignment horizontal="left"/>
    </xf>
    <xf numFmtId="49" fontId="33" fillId="36" borderId="0" xfId="70" applyNumberFormat="1" applyFont="1" applyFill="1" applyBorder="1" applyAlignment="1">
      <alignment horizontal="left"/>
    </xf>
    <xf numFmtId="49" fontId="11" fillId="36" borderId="34" xfId="73" applyNumberFormat="1" applyFont="1" applyFill="1" applyAlignment="1">
      <alignment horizontal="left" wrapText="1"/>
    </xf>
    <xf numFmtId="0" fontId="10" fillId="36" borderId="0" xfId="3" applyNumberFormat="1" applyFont="1" applyFill="1" applyAlignment="1">
      <alignment horizontal="left" wrapText="1"/>
    </xf>
    <xf numFmtId="49" fontId="10" fillId="36" borderId="0" xfId="3" applyNumberFormat="1" applyFont="1" applyFill="1" applyAlignment="1">
      <alignment horizontal="left"/>
    </xf>
    <xf numFmtId="49" fontId="11" fillId="36" borderId="0" xfId="3" applyNumberFormat="1" applyFont="1" applyFill="1" applyAlignment="1">
      <alignment horizontal="left"/>
    </xf>
    <xf numFmtId="0" fontId="0" fillId="36" borderId="0" xfId="0" applyFill="1"/>
    <xf numFmtId="49" fontId="11" fillId="36" borderId="34" xfId="73" applyNumberFormat="1" applyFont="1" applyFill="1" applyBorder="1" applyAlignment="1">
      <alignment horizontal="left"/>
    </xf>
    <xf numFmtId="49" fontId="10" fillId="36" borderId="0" xfId="0" applyNumberFormat="1" applyFont="1" applyFill="1" applyBorder="1" applyAlignment="1">
      <alignment horizontal="left" wrapText="1"/>
    </xf>
    <xf numFmtId="49" fontId="10" fillId="36" borderId="0" xfId="3" applyNumberFormat="1" applyFont="1" applyFill="1" applyBorder="1" applyAlignment="1">
      <alignment horizontal="left" wrapText="1"/>
    </xf>
    <xf numFmtId="0" fontId="0" fillId="36" borderId="0" xfId="0" applyFill="1"/>
    <xf numFmtId="49" fontId="10" fillId="36" borderId="1" xfId="76" applyNumberFormat="1" applyFont="1" applyFill="1" applyAlignment="1">
      <alignment horizontal="left"/>
    </xf>
    <xf numFmtId="0" fontId="0" fillId="36" borderId="0" xfId="0" applyFill="1"/>
    <xf numFmtId="49" fontId="0" fillId="38" borderId="0" xfId="0" applyNumberFormat="1" applyFill="1"/>
    <xf numFmtId="3" fontId="11" fillId="38" borderId="35" xfId="77" applyNumberFormat="1" applyFont="1" applyFill="1" applyBorder="1" applyAlignment="1">
      <alignment horizontal="right"/>
    </xf>
    <xf numFmtId="0" fontId="10" fillId="36" borderId="35" xfId="77" applyNumberFormat="1" applyFont="1" applyFill="1" applyBorder="1" applyAlignment="1">
      <alignment horizontal="right"/>
    </xf>
    <xf numFmtId="3" fontId="10" fillId="36" borderId="35" xfId="77" applyNumberFormat="1" applyFont="1" applyFill="1" applyBorder="1" applyAlignment="1">
      <alignment horizontal="right"/>
    </xf>
    <xf numFmtId="49" fontId="10" fillId="36" borderId="0" xfId="0" applyNumberFormat="1" applyFont="1" applyFill="1" applyAlignment="1">
      <alignment horizontal="left" wrapText="1"/>
    </xf>
    <xf numFmtId="0" fontId="10" fillId="36" borderId="0" xfId="0" applyNumberFormat="1" applyFont="1" applyFill="1" applyAlignment="1">
      <alignment horizontal="left"/>
    </xf>
    <xf numFmtId="49" fontId="10" fillId="36" borderId="0" xfId="3" applyNumberFormat="1" applyFont="1" applyFill="1" applyAlignment="1">
      <alignment horizontal="left" wrapText="1"/>
    </xf>
    <xf numFmtId="49" fontId="10" fillId="36" borderId="0" xfId="0" applyNumberFormat="1" applyFont="1" applyFill="1" applyAlignment="1">
      <alignment horizontal="left"/>
    </xf>
    <xf numFmtId="0" fontId="11" fillId="38" borderId="34" xfId="73" applyNumberFormat="1" applyFont="1" applyFill="1" applyAlignment="1">
      <alignment horizontal="right" wrapText="1"/>
    </xf>
    <xf numFmtId="0" fontId="0" fillId="36" borderId="0" xfId="0" applyFill="1"/>
    <xf numFmtId="49" fontId="10" fillId="36" borderId="0" xfId="0" applyNumberFormat="1" applyFont="1" applyFill="1" applyBorder="1" applyAlignment="1">
      <alignment horizontal="left" wrapText="1"/>
    </xf>
    <xf numFmtId="49" fontId="10" fillId="36" borderId="0" xfId="3" applyNumberFormat="1" applyFont="1" applyFill="1" applyBorder="1" applyAlignment="1">
      <alignment horizontal="left" wrapText="1"/>
    </xf>
    <xf numFmtId="0" fontId="0" fillId="36" borderId="0" xfId="0" applyFill="1"/>
    <xf numFmtId="49" fontId="10" fillId="36" borderId="0" xfId="0" applyNumberFormat="1" applyFont="1" applyFill="1" applyBorder="1" applyAlignment="1">
      <alignment horizontal="right"/>
    </xf>
    <xf numFmtId="0" fontId="11" fillId="36" borderId="0" xfId="75" applyNumberFormat="1" applyFont="1" applyFill="1" applyAlignment="1">
      <alignment horizontal="right"/>
    </xf>
    <xf numFmtId="0" fontId="11" fillId="36" borderId="0" xfId="75" applyNumberFormat="1" applyFont="1" applyFill="1" applyAlignment="1"/>
    <xf numFmtId="0" fontId="37" fillId="36" borderId="0" xfId="75" applyNumberFormat="1" applyFont="1" applyFill="1" applyAlignment="1"/>
    <xf numFmtId="0" fontId="2" fillId="36" borderId="0" xfId="75" applyNumberFormat="1" applyFont="1" applyFill="1" applyAlignment="1"/>
    <xf numFmtId="49" fontId="11" fillId="38" borderId="34" xfId="73" quotePrefix="1" applyNumberFormat="1" applyFont="1" applyFill="1" applyAlignment="1">
      <alignment horizontal="right"/>
    </xf>
    <xf numFmtId="49" fontId="10" fillId="36" borderId="34" xfId="77" applyNumberFormat="1" applyFont="1" applyFill="1" applyBorder="1" applyAlignment="1">
      <alignment horizontal="left"/>
    </xf>
    <xf numFmtId="0" fontId="10" fillId="36" borderId="0" xfId="0" applyFont="1" applyFill="1"/>
    <xf numFmtId="49" fontId="10" fillId="36" borderId="0" xfId="3" applyNumberFormat="1" applyFont="1" applyFill="1" applyAlignment="1">
      <alignment horizontal="left" wrapText="1"/>
    </xf>
    <xf numFmtId="0" fontId="0" fillId="36" borderId="0" xfId="0" applyFill="1"/>
    <xf numFmtId="0" fontId="33" fillId="36" borderId="0" xfId="0" applyFont="1" applyFill="1"/>
    <xf numFmtId="0" fontId="48" fillId="36" borderId="0" xfId="0" applyFont="1" applyFill="1"/>
    <xf numFmtId="0" fontId="36" fillId="36" borderId="0" xfId="0" applyFont="1" applyFill="1"/>
    <xf numFmtId="0" fontId="10" fillId="36" borderId="0" xfId="2" applyFont="1" applyFill="1"/>
    <xf numFmtId="0" fontId="36" fillId="36" borderId="0" xfId="2" applyNumberFormat="1" applyFont="1" applyFill="1"/>
    <xf numFmtId="0" fontId="10" fillId="36" borderId="0" xfId="2" applyFont="1" applyFill="1" applyBorder="1"/>
    <xf numFmtId="3" fontId="11" fillId="38" borderId="1" xfId="76" applyNumberFormat="1" applyFont="1" applyFill="1" applyBorder="1" applyAlignment="1"/>
    <xf numFmtId="2" fontId="10" fillId="36" borderId="34" xfId="77" applyNumberFormat="1" applyFont="1" applyFill="1" applyBorder="1" applyAlignment="1">
      <alignment horizontal="right"/>
    </xf>
    <xf numFmtId="0" fontId="10" fillId="36" borderId="0" xfId="0" applyFont="1" applyFill="1"/>
    <xf numFmtId="0" fontId="0" fillId="36" borderId="0" xfId="0" applyFill="1"/>
    <xf numFmtId="49" fontId="10" fillId="36" borderId="35" xfId="77" applyNumberFormat="1" applyFont="1" applyFill="1" applyBorder="1" applyAlignment="1">
      <alignment horizontal="right"/>
    </xf>
    <xf numFmtId="49" fontId="10" fillId="36" borderId="1" xfId="76" applyNumberFormat="1" applyFont="1" applyFill="1" applyAlignment="1">
      <alignment horizontal="left" wrapText="1" indent="2"/>
    </xf>
    <xf numFmtId="0" fontId="10" fillId="36" borderId="0" xfId="0" applyFont="1" applyFill="1"/>
    <xf numFmtId="0" fontId="0" fillId="36" borderId="0" xfId="0" applyFill="1"/>
    <xf numFmtId="49" fontId="11" fillId="36" borderId="34" xfId="73" applyNumberFormat="1" applyFont="1" applyFill="1" applyAlignment="1">
      <alignment horizontal="right" wrapText="1"/>
    </xf>
    <xf numFmtId="49" fontId="10" fillId="36" borderId="1" xfId="76" applyNumberFormat="1" applyFont="1" applyFill="1" applyAlignment="1">
      <alignment horizontal="left" indent="2"/>
    </xf>
    <xf numFmtId="49" fontId="10" fillId="36" borderId="1" xfId="76" applyNumberFormat="1" applyFont="1" applyFill="1" applyAlignment="1">
      <alignment horizontal="left"/>
    </xf>
    <xf numFmtId="49" fontId="11" fillId="36" borderId="1" xfId="76" applyNumberFormat="1" applyFont="1" applyFill="1" applyAlignment="1">
      <alignment horizontal="left"/>
    </xf>
    <xf numFmtId="0" fontId="10" fillId="36" borderId="0" xfId="0" applyFont="1" applyFill="1"/>
    <xf numFmtId="0" fontId="10" fillId="36" borderId="0" xfId="0" applyNumberFormat="1" applyFont="1" applyFill="1" applyAlignment="1">
      <alignment horizontal="left"/>
    </xf>
    <xf numFmtId="0" fontId="0" fillId="36" borderId="0" xfId="0" applyFill="1"/>
    <xf numFmtId="49" fontId="0" fillId="36" borderId="0" xfId="0" applyNumberFormat="1" applyFill="1" applyAlignment="1">
      <alignment horizontal="left"/>
    </xf>
    <xf numFmtId="49" fontId="10" fillId="36" borderId="0" xfId="0" applyNumberFormat="1" applyFont="1" applyFill="1" applyAlignment="1">
      <alignment horizontal="left"/>
    </xf>
    <xf numFmtId="0" fontId="10" fillId="36" borderId="0" xfId="0" applyNumberFormat="1" applyFont="1" applyFill="1" applyAlignment="1">
      <alignment horizontal="left" wrapText="1"/>
    </xf>
    <xf numFmtId="49" fontId="11" fillId="36" borderId="0" xfId="3" applyNumberFormat="1" applyFont="1" applyFill="1" applyAlignment="1">
      <alignment horizontal="left"/>
    </xf>
    <xf numFmtId="49" fontId="10" fillId="36" borderId="35" xfId="77" applyNumberFormat="1" applyFont="1" applyFill="1" applyBorder="1" applyAlignment="1">
      <alignment horizontal="left"/>
    </xf>
    <xf numFmtId="1" fontId="58" fillId="36" borderId="34" xfId="73" applyNumberFormat="1" applyFont="1" applyFill="1" applyAlignment="1">
      <alignment horizontal="right"/>
    </xf>
    <xf numFmtId="49" fontId="10" fillId="36" borderId="35" xfId="77" applyNumberFormat="1" applyFont="1" applyFill="1" applyBorder="1" applyAlignment="1">
      <alignment horizontal="left"/>
    </xf>
    <xf numFmtId="3" fontId="58" fillId="36" borderId="35" xfId="77" applyNumberFormat="1" applyFont="1" applyFill="1" applyBorder="1" applyAlignment="1">
      <alignment horizontal="left"/>
    </xf>
    <xf numFmtId="3" fontId="11" fillId="38" borderId="35" xfId="77" quotePrefix="1" applyNumberFormat="1" applyFont="1" applyFill="1" applyBorder="1" applyAlignment="1">
      <alignment horizontal="right"/>
    </xf>
    <xf numFmtId="49" fontId="10" fillId="36" borderId="35" xfId="80" applyNumberFormat="1" applyFont="1" applyFill="1" applyBorder="1" applyAlignment="1">
      <alignment horizontal="right"/>
    </xf>
    <xf numFmtId="3" fontId="11" fillId="38" borderId="35" xfId="80" applyNumberFormat="1" applyFont="1" applyFill="1" applyBorder="1" applyAlignment="1">
      <alignment horizontal="right"/>
    </xf>
    <xf numFmtId="3" fontId="10" fillId="36" borderId="35" xfId="80" applyNumberFormat="1" applyFont="1" applyFill="1" applyBorder="1" applyAlignment="1">
      <alignment horizontal="right"/>
    </xf>
    <xf numFmtId="3" fontId="11" fillId="36" borderId="35" xfId="77" applyNumberFormat="1" applyFont="1" applyFill="1" applyBorder="1" applyAlignment="1">
      <alignment horizontal="right"/>
    </xf>
    <xf numFmtId="0" fontId="11" fillId="36" borderId="35" xfId="77" applyNumberFormat="1" applyFont="1" applyFill="1" applyBorder="1" applyAlignment="1">
      <alignment horizontal="left"/>
    </xf>
    <xf numFmtId="0" fontId="10" fillId="36" borderId="35" xfId="77" applyNumberFormat="1" applyFont="1" applyFill="1" applyBorder="1" applyAlignment="1">
      <alignment horizontal="left"/>
    </xf>
    <xf numFmtId="0" fontId="11" fillId="38" borderId="35" xfId="77" applyNumberFormat="1" applyFont="1" applyFill="1" applyBorder="1" applyAlignment="1">
      <alignment horizontal="right"/>
    </xf>
    <xf numFmtId="1" fontId="10" fillId="36" borderId="35" xfId="77" applyNumberFormat="1" applyFont="1" applyFill="1" applyBorder="1" applyAlignment="1">
      <alignment horizontal="right"/>
    </xf>
    <xf numFmtId="1" fontId="10" fillId="36" borderId="35" xfId="80" applyNumberFormat="1" applyFont="1" applyFill="1" applyBorder="1" applyAlignment="1">
      <alignment horizontal="right"/>
    </xf>
    <xf numFmtId="1" fontId="11" fillId="38" borderId="35" xfId="80" quotePrefix="1" applyNumberFormat="1" applyFont="1" applyFill="1" applyBorder="1" applyAlignment="1">
      <alignment horizontal="right"/>
    </xf>
    <xf numFmtId="1" fontId="11" fillId="38" borderId="35" xfId="80" applyNumberFormat="1" applyFont="1" applyFill="1" applyBorder="1" applyAlignment="1">
      <alignment horizontal="right"/>
    </xf>
    <xf numFmtId="0" fontId="0" fillId="36" borderId="0" xfId="0" applyFill="1"/>
    <xf numFmtId="0" fontId="10" fillId="36" borderId="1" xfId="76" applyNumberFormat="1" applyFont="1" applyFill="1" applyAlignment="1">
      <alignment horizontal="left"/>
    </xf>
    <xf numFmtId="3" fontId="77" fillId="36" borderId="1" xfId="76" applyNumberFormat="1" applyFont="1" applyFill="1" applyAlignment="1" applyProtection="1">
      <alignment horizontal="right"/>
    </xf>
    <xf numFmtId="0" fontId="77" fillId="36" borderId="1" xfId="76" applyFont="1" applyFill="1" applyAlignment="1" applyProtection="1">
      <alignment horizontal="right"/>
    </xf>
    <xf numFmtId="0" fontId="77" fillId="36" borderId="35" xfId="77" applyFont="1" applyFill="1" applyBorder="1" applyAlignment="1" applyProtection="1">
      <alignment horizontal="right"/>
    </xf>
    <xf numFmtId="0" fontId="77" fillId="36" borderId="1" xfId="76" applyNumberFormat="1" applyFont="1" applyFill="1" applyAlignment="1" applyProtection="1">
      <alignment horizontal="right"/>
    </xf>
    <xf numFmtId="0" fontId="77" fillId="36" borderId="35" xfId="77" applyNumberFormat="1" applyFont="1" applyFill="1" applyBorder="1" applyAlignment="1" applyProtection="1">
      <alignment horizontal="right"/>
    </xf>
    <xf numFmtId="0" fontId="56" fillId="36" borderId="35" xfId="77" applyNumberFormat="1" applyFont="1" applyFill="1" applyBorder="1" applyAlignment="1" applyProtection="1">
      <alignment horizontal="right"/>
    </xf>
    <xf numFmtId="3" fontId="75" fillId="36" borderId="35" xfId="77" applyNumberFormat="1" applyFont="1" applyFill="1" applyBorder="1" applyAlignment="1">
      <alignment horizontal="right"/>
    </xf>
    <xf numFmtId="0" fontId="13" fillId="36" borderId="35" xfId="77" applyNumberFormat="1" applyFont="1" applyFill="1" applyBorder="1" applyAlignment="1" applyProtection="1">
      <alignment horizontal="right"/>
    </xf>
    <xf numFmtId="49" fontId="11" fillId="36" borderId="0" xfId="93" applyNumberFormat="1" applyFont="1" applyFill="1" applyBorder="1" applyAlignment="1">
      <alignment horizontal="left"/>
    </xf>
    <xf numFmtId="49" fontId="10" fillId="36" borderId="0" xfId="93" applyNumberFormat="1" applyFont="1" applyFill="1" applyBorder="1" applyAlignment="1">
      <alignment horizontal="left" wrapText="1"/>
    </xf>
    <xf numFmtId="0" fontId="10" fillId="36" borderId="0" xfId="93" applyNumberFormat="1" applyFont="1" applyFill="1" applyAlignment="1"/>
    <xf numFmtId="0" fontId="0" fillId="36" borderId="0" xfId="93" applyNumberFormat="1" applyFont="1" applyFill="1" applyAlignment="1"/>
    <xf numFmtId="0" fontId="10" fillId="36" borderId="0" xfId="93" applyNumberFormat="1" applyFont="1" applyFill="1" applyAlignment="1">
      <alignment horizontal="left"/>
    </xf>
    <xf numFmtId="0" fontId="11" fillId="36" borderId="0" xfId="93" applyNumberFormat="1" applyFont="1" applyFill="1" applyBorder="1" applyAlignment="1">
      <alignment horizontal="right"/>
    </xf>
    <xf numFmtId="49" fontId="11" fillId="36" borderId="1" xfId="87" applyNumberFormat="1" applyFont="1" applyFill="1" applyBorder="1" applyAlignment="1">
      <alignment horizontal="left"/>
    </xf>
    <xf numFmtId="0" fontId="11" fillId="38" borderId="1" xfId="87" applyNumberFormat="1" applyFont="1" applyFill="1" applyBorder="1" applyAlignment="1">
      <alignment horizontal="right"/>
    </xf>
    <xf numFmtId="0" fontId="0" fillId="36" borderId="0" xfId="87" applyNumberFormat="1" applyFont="1" applyFill="1" applyBorder="1" applyAlignment="1"/>
    <xf numFmtId="3" fontId="11" fillId="38" borderId="1" xfId="87" applyNumberFormat="1" applyFont="1" applyFill="1" applyBorder="1" applyAlignment="1">
      <alignment horizontal="right"/>
    </xf>
    <xf numFmtId="3" fontId="10" fillId="36" borderId="1" xfId="87" applyNumberFormat="1" applyFont="1" applyFill="1" applyBorder="1" applyAlignment="1">
      <alignment horizontal="right"/>
    </xf>
    <xf numFmtId="49" fontId="10" fillId="36" borderId="0" xfId="93" applyNumberFormat="1" applyFont="1" applyFill="1" applyAlignment="1">
      <alignment horizontal="left" wrapText="1"/>
    </xf>
    <xf numFmtId="49" fontId="10" fillId="36" borderId="0" xfId="1" applyNumberFormat="1" applyFont="1" applyFill="1" applyAlignment="1">
      <alignment wrapText="1"/>
    </xf>
    <xf numFmtId="49" fontId="10" fillId="36" borderId="0" xfId="0" applyNumberFormat="1" applyFont="1" applyFill="1" applyAlignment="1">
      <alignment wrapText="1"/>
    </xf>
    <xf numFmtId="49" fontId="10" fillId="36" borderId="0" xfId="86" applyNumberFormat="1" applyFont="1" applyFill="1" applyBorder="1" applyAlignment="1">
      <alignment horizontal="left" wrapText="1"/>
    </xf>
    <xf numFmtId="49" fontId="11" fillId="36" borderId="0" xfId="87" applyNumberFormat="1" applyFont="1" applyFill="1" applyBorder="1" applyAlignment="1">
      <alignment horizontal="left" wrapText="1"/>
    </xf>
    <xf numFmtId="49" fontId="10" fillId="36" borderId="0" xfId="87" applyNumberFormat="1" applyFont="1" applyFill="1" applyBorder="1" applyAlignment="1">
      <alignment horizontal="left" wrapText="1"/>
    </xf>
    <xf numFmtId="49" fontId="10" fillId="36" borderId="0" xfId="76" applyNumberFormat="1" applyFont="1" applyFill="1" applyBorder="1" applyAlignment="1">
      <alignment horizontal="left" wrapText="1"/>
    </xf>
    <xf numFmtId="49" fontId="10" fillId="36" borderId="0" xfId="76" applyNumberFormat="1" applyFont="1" applyFill="1" applyBorder="1" applyAlignment="1">
      <alignment horizontal="left" indent="2"/>
    </xf>
    <xf numFmtId="49" fontId="10" fillId="36" borderId="0" xfId="76" applyNumberFormat="1" applyFont="1" applyFill="1" applyBorder="1" applyAlignment="1">
      <alignment horizontal="left"/>
    </xf>
    <xf numFmtId="49" fontId="10" fillId="36" borderId="1" xfId="76" applyNumberFormat="1" applyFont="1" applyFill="1" applyAlignment="1">
      <alignment horizontal="left" wrapText="1"/>
    </xf>
    <xf numFmtId="49" fontId="10" fillId="36" borderId="34" xfId="77" applyNumberFormat="1" applyFont="1" applyFill="1" applyBorder="1" applyAlignment="1">
      <alignment horizontal="left" wrapText="1"/>
    </xf>
    <xf numFmtId="49" fontId="33" fillId="36" borderId="0" xfId="70" applyNumberFormat="1" applyFont="1" applyFill="1" applyBorder="1" applyAlignment="1">
      <alignment horizontal="left" vertical="top"/>
    </xf>
    <xf numFmtId="49" fontId="10" fillId="36" borderId="0" xfId="70" applyNumberFormat="1" applyFont="1" applyFill="1" applyAlignment="1">
      <alignment horizontal="left" vertical="top"/>
    </xf>
    <xf numFmtId="49" fontId="11" fillId="36" borderId="34" xfId="73" applyNumberFormat="1" applyFont="1" applyFill="1" applyBorder="1" applyAlignment="1">
      <alignment horizontal="left" wrapText="1"/>
    </xf>
    <xf numFmtId="49" fontId="10" fillId="36" borderId="34" xfId="73" applyNumberFormat="1" applyFont="1" applyFill="1" applyBorder="1" applyAlignment="1">
      <alignment horizontal="left" wrapText="1"/>
    </xf>
    <xf numFmtId="49" fontId="10" fillId="36" borderId="1" xfId="76" applyNumberFormat="1" applyFont="1" applyFill="1" applyAlignment="1">
      <alignment horizontal="left" indent="2"/>
    </xf>
    <xf numFmtId="49" fontId="11" fillId="36" borderId="0" xfId="73" applyNumberFormat="1" applyFont="1" applyFill="1" applyBorder="1" applyAlignment="1">
      <alignment horizontal="left" wrapText="1"/>
    </xf>
    <xf numFmtId="49" fontId="10" fillId="36" borderId="0" xfId="73" applyNumberFormat="1" applyFont="1" applyFill="1" applyBorder="1" applyAlignment="1">
      <alignment horizontal="left" wrapText="1"/>
    </xf>
    <xf numFmtId="49" fontId="10" fillId="36" borderId="0" xfId="71" applyNumberFormat="1" applyFont="1" applyFill="1" applyAlignment="1">
      <alignment horizontal="left" wrapText="1"/>
    </xf>
    <xf numFmtId="49" fontId="11" fillId="36" borderId="1" xfId="76" applyNumberFormat="1" applyFont="1" applyFill="1" applyAlignment="1">
      <alignment horizontal="left" wrapText="1"/>
    </xf>
    <xf numFmtId="0" fontId="10" fillId="36" borderId="34" xfId="77" applyNumberFormat="1" applyFont="1" applyFill="1" applyBorder="1" applyAlignment="1">
      <alignment horizontal="left" indent="2"/>
    </xf>
    <xf numFmtId="49" fontId="10" fillId="36" borderId="0" xfId="84" applyNumberFormat="1" applyFont="1" applyFill="1" applyAlignment="1">
      <alignment wrapText="1"/>
    </xf>
    <xf numFmtId="0" fontId="10" fillId="36" borderId="1" xfId="76" applyNumberFormat="1" applyFont="1" applyFill="1" applyAlignment="1">
      <alignment horizontal="left"/>
    </xf>
    <xf numFmtId="49" fontId="10" fillId="36" borderId="1" xfId="76" applyNumberFormat="1" applyFont="1" applyFill="1" applyAlignment="1">
      <alignment horizontal="left"/>
    </xf>
    <xf numFmtId="49" fontId="58" fillId="36" borderId="1" xfId="76" applyNumberFormat="1" applyFont="1" applyFill="1" applyAlignment="1"/>
    <xf numFmtId="49" fontId="10" fillId="36" borderId="0" xfId="2" applyNumberFormat="1" applyFont="1" applyFill="1" applyAlignment="1">
      <alignment horizontal="left" wrapText="1"/>
    </xf>
    <xf numFmtId="49" fontId="10" fillId="0" borderId="1" xfId="76" applyNumberFormat="1" applyFont="1" applyFill="1" applyAlignment="1">
      <alignment horizontal="left"/>
    </xf>
    <xf numFmtId="49" fontId="11" fillId="36" borderId="1" xfId="76" applyNumberFormat="1" applyFont="1" applyFill="1" applyAlignment="1">
      <alignment horizontal="left"/>
    </xf>
    <xf numFmtId="49" fontId="10" fillId="36" borderId="27" xfId="76" applyNumberFormat="1" applyFont="1" applyFill="1" applyBorder="1" applyAlignment="1">
      <alignment horizontal="left" indent="2"/>
    </xf>
    <xf numFmtId="49" fontId="10" fillId="36" borderId="16" xfId="77" applyNumberFormat="1" applyFont="1" applyFill="1" applyBorder="1" applyAlignment="1">
      <alignment horizontal="left" indent="2"/>
    </xf>
    <xf numFmtId="49" fontId="33" fillId="36" borderId="0" xfId="70" applyNumberFormat="1" applyFont="1" applyFill="1" applyAlignment="1">
      <alignment horizontal="left"/>
    </xf>
    <xf numFmtId="49" fontId="11" fillId="36" borderId="34" xfId="73" applyNumberFormat="1" applyFont="1" applyFill="1" applyAlignment="1">
      <alignment horizontal="left"/>
    </xf>
    <xf numFmtId="49" fontId="10" fillId="36" borderId="0" xfId="0" applyNumberFormat="1" applyFont="1" applyFill="1" applyAlignment="1">
      <alignment horizontal="left" wrapText="1"/>
    </xf>
    <xf numFmtId="49" fontId="10" fillId="36" borderId="0" xfId="0" applyNumberFormat="1" applyFont="1" applyFill="1" applyBorder="1" applyAlignment="1">
      <alignment horizontal="left" wrapText="1"/>
    </xf>
    <xf numFmtId="49" fontId="33" fillId="0" borderId="0" xfId="70" applyNumberFormat="1" applyFont="1" applyFill="1" applyBorder="1" applyAlignment="1">
      <alignment horizontal="left"/>
    </xf>
    <xf numFmtId="49" fontId="10" fillId="36" borderId="0" xfId="74" applyNumberFormat="1" applyFont="1" applyFill="1" applyAlignment="1">
      <alignment horizontal="right" vertical="center"/>
    </xf>
    <xf numFmtId="49" fontId="10" fillId="36" borderId="0" xfId="2" applyNumberFormat="1" applyFont="1" applyFill="1" applyAlignment="1">
      <alignment vertical="top" wrapText="1"/>
    </xf>
    <xf numFmtId="0" fontId="11" fillId="36" borderId="34" xfId="73" applyNumberFormat="1" applyFont="1" applyFill="1" applyAlignment="1">
      <alignment horizontal="right"/>
    </xf>
    <xf numFmtId="49" fontId="33" fillId="36" borderId="0" xfId="70" applyNumberFormat="1" applyFont="1" applyFill="1" applyBorder="1" applyAlignment="1">
      <alignment horizontal="left"/>
    </xf>
    <xf numFmtId="49" fontId="10" fillId="36" borderId="1" xfId="76" applyNumberFormat="1" applyFont="1" applyFill="1" applyAlignment="1"/>
    <xf numFmtId="49" fontId="10" fillId="36" borderId="1" xfId="76" applyNumberFormat="1" applyFont="1" applyFill="1" applyAlignment="1">
      <alignment horizontal="left" wrapText="1" indent="2"/>
    </xf>
    <xf numFmtId="49" fontId="10" fillId="36" borderId="34" xfId="77" applyNumberFormat="1" applyFont="1" applyFill="1" applyBorder="1" applyAlignment="1">
      <alignment horizontal="left"/>
    </xf>
    <xf numFmtId="49" fontId="11" fillId="36" borderId="34" xfId="77" applyNumberFormat="1" applyFont="1" applyFill="1" applyBorder="1" applyAlignment="1">
      <alignment horizontal="left"/>
    </xf>
    <xf numFmtId="49" fontId="10" fillId="36" borderId="1" xfId="76" applyNumberFormat="1" applyFont="1" applyFill="1" applyAlignment="1">
      <alignment horizontal="center"/>
    </xf>
    <xf numFmtId="49" fontId="10" fillId="36" borderId="34" xfId="77" applyNumberFormat="1" applyFont="1" applyFill="1" applyBorder="1" applyAlignment="1">
      <alignment horizontal="left" indent="2"/>
    </xf>
    <xf numFmtId="49" fontId="10" fillId="36" borderId="34" xfId="77" applyNumberFormat="1" applyFont="1" applyFill="1" applyBorder="1" applyAlignment="1">
      <alignment horizontal="left" wrapText="1" indent="2"/>
    </xf>
    <xf numFmtId="49" fontId="11" fillId="36" borderId="2" xfId="73" applyNumberFormat="1" applyFont="1" applyFill="1" applyBorder="1" applyAlignment="1">
      <alignment horizontal="left"/>
    </xf>
    <xf numFmtId="49" fontId="10" fillId="36" borderId="0" xfId="2" applyNumberFormat="1" applyFont="1" applyFill="1" applyAlignment="1">
      <alignment horizontal="left"/>
    </xf>
    <xf numFmtId="0" fontId="11" fillId="36" borderId="34" xfId="73" applyNumberFormat="1" applyFont="1" applyFill="1" applyBorder="1" applyAlignment="1">
      <alignment horizontal="right"/>
    </xf>
    <xf numFmtId="49" fontId="10" fillId="0" borderId="0" xfId="0" applyNumberFormat="1" applyFont="1" applyFill="1" applyAlignment="1">
      <alignment horizontal="left" wrapText="1"/>
    </xf>
    <xf numFmtId="49" fontId="54" fillId="38" borderId="34" xfId="73" applyNumberFormat="1" applyFont="1" applyFill="1" applyAlignment="1">
      <alignment horizontal="right" wrapText="1"/>
    </xf>
    <xf numFmtId="49" fontId="55" fillId="38" borderId="34" xfId="73" applyNumberFormat="1" applyFont="1" applyFill="1" applyAlignment="1">
      <alignment horizontal="right" wrapText="1"/>
    </xf>
    <xf numFmtId="49" fontId="11" fillId="36" borderId="34" xfId="80" applyNumberFormat="1" applyFont="1" applyFill="1" applyAlignment="1">
      <alignment horizontal="left" wrapText="1"/>
    </xf>
    <xf numFmtId="49" fontId="54" fillId="36" borderId="34" xfId="73" applyNumberFormat="1" applyFont="1" applyFill="1" applyAlignment="1">
      <alignment horizontal="right" wrapText="1"/>
    </xf>
    <xf numFmtId="49" fontId="55" fillId="36" borderId="34" xfId="73" applyNumberFormat="1" applyFont="1" applyFill="1" applyAlignment="1">
      <alignment horizontal="right" wrapText="1"/>
    </xf>
    <xf numFmtId="49" fontId="11" fillId="36" borderId="34" xfId="73" applyNumberFormat="1" applyFont="1" applyFill="1" applyAlignment="1">
      <alignment horizontal="left" wrapText="1"/>
    </xf>
    <xf numFmtId="0" fontId="10" fillId="36" borderId="0" xfId="0" applyFont="1" applyFill="1"/>
    <xf numFmtId="49" fontId="10" fillId="36" borderId="0" xfId="3" applyNumberFormat="1" applyFont="1" applyFill="1" applyBorder="1" applyAlignment="1">
      <alignment horizontal="left" wrapText="1"/>
    </xf>
    <xf numFmtId="49" fontId="57" fillId="36" borderId="1" xfId="76" applyNumberFormat="1" applyFont="1" applyFill="1" applyAlignment="1">
      <alignment horizontal="left" wrapText="1"/>
    </xf>
    <xf numFmtId="49" fontId="57" fillId="36" borderId="34" xfId="77" applyNumberFormat="1" applyFont="1" applyFill="1" applyBorder="1" applyAlignment="1">
      <alignment horizontal="left" indent="2"/>
    </xf>
    <xf numFmtId="49" fontId="58" fillId="36" borderId="1" xfId="76" applyNumberFormat="1" applyFont="1" applyFill="1" applyAlignment="1">
      <alignment horizontal="left"/>
    </xf>
    <xf numFmtId="49" fontId="57" fillId="36" borderId="1" xfId="76" applyNumberFormat="1" applyFont="1" applyFill="1" applyAlignment="1">
      <alignment horizontal="left" indent="2"/>
    </xf>
    <xf numFmtId="0" fontId="33" fillId="36" borderId="0" xfId="70" applyNumberFormat="1" applyFont="1" applyFill="1" applyBorder="1" applyAlignment="1">
      <alignment horizontal="left"/>
    </xf>
    <xf numFmtId="49" fontId="57" fillId="36" borderId="1" xfId="76" applyNumberFormat="1" applyFont="1" applyFill="1" applyAlignment="1">
      <alignment horizontal="center" wrapText="1"/>
    </xf>
    <xf numFmtId="49" fontId="58" fillId="36" borderId="27" xfId="76" applyNumberFormat="1" applyFont="1" applyFill="1" applyBorder="1" applyAlignment="1">
      <alignment horizontal="left"/>
    </xf>
    <xf numFmtId="0" fontId="10" fillId="36" borderId="0" xfId="3" applyNumberFormat="1" applyFont="1" applyFill="1" applyAlignment="1">
      <alignment horizontal="left" wrapText="1"/>
    </xf>
    <xf numFmtId="0" fontId="57" fillId="36" borderId="0" xfId="0" applyFont="1" applyFill="1" applyAlignment="1">
      <alignment horizontal="left" wrapText="1"/>
    </xf>
    <xf numFmtId="49" fontId="10" fillId="36" borderId="27" xfId="76" applyNumberFormat="1" applyFont="1" applyFill="1" applyBorder="1" applyAlignment="1">
      <alignment horizontal="left"/>
    </xf>
    <xf numFmtId="0" fontId="11" fillId="0" borderId="0" xfId="0" applyFont="1"/>
    <xf numFmtId="49" fontId="11" fillId="36" borderId="27" xfId="76" applyNumberFormat="1" applyFont="1" applyFill="1" applyBorder="1" applyAlignment="1">
      <alignment horizontal="left"/>
    </xf>
    <xf numFmtId="49" fontId="58" fillId="36" borderId="34" xfId="80" applyNumberFormat="1" applyFont="1" applyFill="1" applyAlignment="1">
      <alignment horizontal="left"/>
    </xf>
    <xf numFmtId="49" fontId="57" fillId="36" borderId="34" xfId="77" applyNumberFormat="1" applyFont="1" applyFill="1" applyBorder="1" applyAlignment="1">
      <alignment horizontal="left" wrapText="1" indent="2"/>
    </xf>
    <xf numFmtId="49" fontId="57" fillId="36" borderId="1" xfId="76" applyNumberFormat="1" applyFont="1" applyFill="1" applyAlignment="1">
      <alignment horizontal="left" wrapText="1" indent="2"/>
    </xf>
    <xf numFmtId="49" fontId="58" fillId="36" borderId="1" xfId="76" applyNumberFormat="1" applyFont="1" applyFill="1" applyAlignment="1">
      <alignment horizontal="center" wrapText="1"/>
    </xf>
    <xf numFmtId="49" fontId="10" fillId="36" borderId="27" xfId="76" applyNumberFormat="1" applyFont="1" applyFill="1" applyBorder="1" applyAlignment="1"/>
    <xf numFmtId="49" fontId="11" fillId="36" borderId="0" xfId="75" applyNumberFormat="1" applyFont="1" applyFill="1" applyBorder="1" applyAlignment="1">
      <alignment horizontal="left"/>
    </xf>
    <xf numFmtId="49" fontId="11" fillId="36" borderId="34" xfId="80" applyNumberFormat="1" applyFont="1" applyFill="1" applyAlignment="1">
      <alignment horizontal="left"/>
    </xf>
    <xf numFmtId="49" fontId="11" fillId="36" borderId="0" xfId="0" applyNumberFormat="1" applyFont="1" applyFill="1" applyAlignment="1">
      <alignment horizontal="left" wrapText="1"/>
    </xf>
    <xf numFmtId="49" fontId="10" fillId="36" borderId="27" xfId="76" applyNumberFormat="1" applyFont="1" applyFill="1" applyBorder="1" applyAlignment="1">
      <alignment horizontal="left" wrapText="1"/>
    </xf>
    <xf numFmtId="49" fontId="10" fillId="36" borderId="32" xfId="76" applyNumberFormat="1" applyFont="1" applyFill="1" applyBorder="1" applyAlignment="1">
      <alignment horizontal="left"/>
    </xf>
    <xf numFmtId="49" fontId="10" fillId="36" borderId="16" xfId="77" applyNumberFormat="1" applyFont="1" applyFill="1" applyBorder="1" applyAlignment="1">
      <alignment horizontal="left"/>
    </xf>
    <xf numFmtId="49" fontId="11" fillId="36" borderId="28" xfId="80" applyNumberFormat="1" applyFont="1" applyFill="1" applyBorder="1" applyAlignment="1">
      <alignment horizontal="left"/>
    </xf>
    <xf numFmtId="0" fontId="33" fillId="36" borderId="0" xfId="70" applyNumberFormat="1" applyFont="1" applyFill="1" applyAlignment="1">
      <alignment horizontal="left"/>
    </xf>
    <xf numFmtId="49" fontId="11" fillId="36" borderId="0" xfId="3" applyNumberFormat="1" applyFont="1" applyFill="1" applyBorder="1" applyAlignment="1">
      <alignment horizontal="left"/>
    </xf>
    <xf numFmtId="0" fontId="11" fillId="36" borderId="34" xfId="73" applyNumberFormat="1" applyFont="1" applyFill="1" applyAlignment="1"/>
    <xf numFmtId="49" fontId="10" fillId="36" borderId="0" xfId="3" applyNumberFormat="1" applyFont="1" applyFill="1" applyAlignment="1">
      <alignment horizontal="left" wrapText="1"/>
    </xf>
    <xf numFmtId="0" fontId="11" fillId="36" borderId="0" xfId="73" applyNumberFormat="1" applyFont="1" applyFill="1" applyBorder="1" applyAlignment="1"/>
    <xf numFmtId="0" fontId="0" fillId="36" borderId="0" xfId="0" applyFill="1"/>
    <xf numFmtId="49" fontId="10" fillId="36" borderId="0" xfId="84" applyNumberFormat="1" applyFont="1" applyFill="1" applyAlignment="1">
      <alignment horizontal="left" wrapText="1"/>
    </xf>
    <xf numFmtId="0" fontId="10" fillId="36" borderId="0" xfId="0" applyNumberFormat="1" applyFont="1" applyFill="1" applyAlignment="1">
      <alignment horizontal="left"/>
    </xf>
    <xf numFmtId="49" fontId="0" fillId="0" borderId="0" xfId="0" applyNumberFormat="1" applyFill="1" applyBorder="1" applyAlignment="1">
      <alignment horizontal="left" wrapText="1"/>
    </xf>
    <xf numFmtId="49" fontId="0" fillId="36" borderId="0" xfId="0" applyNumberFormat="1" applyFill="1" applyBorder="1" applyAlignment="1">
      <alignment horizontal="left" wrapText="1"/>
    </xf>
    <xf numFmtId="0" fontId="11" fillId="36" borderId="0" xfId="0" applyNumberFormat="1" applyFont="1" applyFill="1"/>
    <xf numFmtId="0" fontId="0" fillId="36" borderId="0" xfId="0" applyNumberFormat="1" applyFill="1" applyAlignment="1">
      <alignment wrapText="1"/>
    </xf>
    <xf numFmtId="49" fontId="11" fillId="36" borderId="0" xfId="0" applyNumberFormat="1" applyFont="1" applyFill="1"/>
    <xf numFmtId="49" fontId="10" fillId="36" borderId="34" xfId="77" applyNumberFormat="1" applyFont="1" applyFill="1" applyBorder="1" applyAlignment="1">
      <alignment horizontal="center"/>
    </xf>
    <xf numFmtId="0" fontId="10" fillId="36" borderId="0" xfId="0" quotePrefix="1" applyFont="1" applyFill="1"/>
    <xf numFmtId="49" fontId="11" fillId="36" borderId="1" xfId="76" applyNumberFormat="1" applyFont="1" applyFill="1" applyAlignment="1">
      <alignment horizontal="center"/>
    </xf>
    <xf numFmtId="49" fontId="10" fillId="36" borderId="0" xfId="70" applyNumberFormat="1" applyFont="1" applyFill="1" applyAlignment="1">
      <alignment horizontal="left"/>
    </xf>
    <xf numFmtId="49" fontId="10" fillId="36" borderId="0" xfId="3" applyNumberFormat="1" applyFont="1" applyFill="1" applyAlignment="1">
      <alignment horizontal="left"/>
    </xf>
    <xf numFmtId="49" fontId="0" fillId="36" borderId="0" xfId="0" applyNumberFormat="1" applyFill="1" applyAlignment="1">
      <alignment horizontal="left"/>
    </xf>
    <xf numFmtId="0" fontId="10" fillId="36" borderId="27" xfId="76" applyNumberFormat="1" applyFont="1" applyFill="1" applyBorder="1" applyAlignment="1">
      <alignment horizontal="left"/>
    </xf>
    <xf numFmtId="0" fontId="10" fillId="36" borderId="1" xfId="76" applyNumberFormat="1" applyFont="1" applyFill="1" applyBorder="1" applyAlignment="1">
      <alignment horizontal="left"/>
    </xf>
    <xf numFmtId="0" fontId="10" fillId="0" borderId="0" xfId="0" applyNumberFormat="1" applyFont="1" applyFill="1" applyAlignment="1">
      <alignment horizontal="left" wrapText="1"/>
    </xf>
    <xf numFmtId="49" fontId="10" fillId="36" borderId="0" xfId="0" applyNumberFormat="1" applyFont="1" applyFill="1" applyAlignment="1">
      <alignment horizontal="left"/>
    </xf>
    <xf numFmtId="0" fontId="10" fillId="36" borderId="0" xfId="84" applyNumberFormat="1" applyFont="1" applyFill="1" applyAlignment="1">
      <alignment horizontal="left" wrapText="1"/>
    </xf>
    <xf numFmtId="0" fontId="11" fillId="36" borderId="0" xfId="0" applyNumberFormat="1" applyFont="1" applyFill="1" applyAlignment="1">
      <alignment horizontal="left"/>
    </xf>
    <xf numFmtId="0" fontId="10" fillId="36" borderId="0" xfId="0" applyNumberFormat="1" applyFont="1" applyFill="1" applyAlignment="1">
      <alignment horizontal="left" wrapText="1"/>
    </xf>
    <xf numFmtId="49" fontId="33" fillId="0" borderId="0" xfId="70" applyNumberFormat="1" applyFont="1" applyFill="1" applyAlignment="1">
      <alignment horizontal="left"/>
    </xf>
    <xf numFmtId="49" fontId="10" fillId="0" borderId="0" xfId="70" applyNumberFormat="1" applyFont="1" applyFill="1" applyAlignment="1"/>
    <xf numFmtId="0" fontId="10" fillId="36" borderId="1" xfId="76" applyNumberFormat="1" applyFont="1" applyFill="1" applyBorder="1" applyAlignment="1">
      <alignment horizontal="left" wrapText="1"/>
    </xf>
    <xf numFmtId="0" fontId="10" fillId="36" borderId="16" xfId="77" applyNumberFormat="1" applyFont="1" applyFill="1" applyBorder="1" applyAlignment="1">
      <alignment horizontal="left" wrapText="1"/>
    </xf>
    <xf numFmtId="0" fontId="11" fillId="36" borderId="34" xfId="80" applyNumberFormat="1" applyFont="1" applyFill="1" applyAlignment="1">
      <alignment horizontal="left" wrapText="1"/>
    </xf>
    <xf numFmtId="0" fontId="11" fillId="36" borderId="30" xfId="73" applyNumberFormat="1" applyFont="1" applyFill="1" applyBorder="1" applyAlignment="1">
      <alignment horizontal="left" wrapText="1"/>
    </xf>
    <xf numFmtId="49" fontId="33" fillId="36" borderId="0" xfId="70" applyNumberFormat="1" applyFont="1" applyFill="1" applyAlignment="1"/>
    <xf numFmtId="49" fontId="10" fillId="36" borderId="0" xfId="70" applyNumberFormat="1" applyFont="1" applyFill="1" applyAlignment="1"/>
    <xf numFmtId="0" fontId="0" fillId="36" borderId="0" xfId="0" applyFill="1" applyAlignment="1">
      <alignment horizontal="left"/>
    </xf>
    <xf numFmtId="49" fontId="10" fillId="0" borderId="0" xfId="3" applyNumberFormat="1" applyFont="1" applyFill="1" applyAlignment="1">
      <alignment horizontal="left" wrapText="1"/>
    </xf>
    <xf numFmtId="0" fontId="11" fillId="36" borderId="1" xfId="76" applyNumberFormat="1" applyFont="1" applyFill="1" applyAlignment="1">
      <alignment horizontal="left"/>
    </xf>
    <xf numFmtId="49" fontId="10" fillId="36" borderId="27" xfId="76" applyNumberFormat="1" applyFont="1" applyFill="1" applyBorder="1" applyAlignment="1">
      <alignment horizontal="left" vertical="top"/>
    </xf>
    <xf numFmtId="49" fontId="10" fillId="36" borderId="1" xfId="76" applyNumberFormat="1" applyFont="1" applyFill="1" applyBorder="1" applyAlignment="1">
      <alignment horizontal="left" vertical="top"/>
    </xf>
    <xf numFmtId="49" fontId="11" fillId="36" borderId="1" xfId="76" applyNumberFormat="1" applyFont="1" applyFill="1" applyBorder="1" applyAlignment="1">
      <alignment horizontal="left"/>
    </xf>
    <xf numFmtId="49" fontId="10" fillId="36" borderId="1" xfId="76" applyNumberFormat="1" applyFont="1" applyFill="1" applyBorder="1" applyAlignment="1">
      <alignment horizontal="left"/>
    </xf>
    <xf numFmtId="49" fontId="10" fillId="36" borderId="30" xfId="77" applyNumberFormat="1" applyFont="1" applyFill="1" applyBorder="1" applyAlignment="1">
      <alignment horizontal="left"/>
    </xf>
    <xf numFmtId="49" fontId="11" fillId="36" borderId="30" xfId="73" applyNumberFormat="1" applyFont="1" applyFill="1" applyBorder="1" applyAlignment="1">
      <alignment horizontal="left"/>
    </xf>
    <xf numFmtId="49" fontId="33" fillId="36" borderId="0" xfId="70" applyNumberFormat="1" applyFont="1" applyFill="1" applyAlignment="1">
      <alignment horizontal="left" wrapText="1"/>
    </xf>
    <xf numFmtId="49" fontId="10" fillId="36" borderId="0" xfId="70" applyNumberFormat="1" applyFont="1" applyFill="1" applyAlignment="1">
      <alignment wrapText="1"/>
    </xf>
    <xf numFmtId="2" fontId="10" fillId="36" borderId="0" xfId="3" applyNumberFormat="1" applyFont="1" applyFill="1" applyAlignment="1">
      <alignment horizontal="left" wrapText="1"/>
    </xf>
    <xf numFmtId="2" fontId="10" fillId="36" borderId="0" xfId="0" applyNumberFormat="1" applyFont="1" applyFill="1" applyAlignment="1">
      <alignment horizontal="left" wrapText="1"/>
    </xf>
    <xf numFmtId="49" fontId="10" fillId="36" borderId="34" xfId="73" applyNumberFormat="1" applyFont="1" applyFill="1" applyAlignment="1">
      <alignment horizontal="left" wrapText="1"/>
    </xf>
    <xf numFmtId="0" fontId="10" fillId="36" borderId="27" xfId="76" applyNumberFormat="1" applyFont="1" applyFill="1" applyBorder="1" applyAlignment="1">
      <alignment horizontal="left" wrapText="1" indent="2"/>
    </xf>
    <xf numFmtId="49" fontId="10" fillId="36" borderId="27" xfId="76" applyNumberFormat="1" applyFont="1" applyFill="1" applyBorder="1" applyAlignment="1">
      <alignment horizontal="right" wrapText="1"/>
    </xf>
    <xf numFmtId="49" fontId="11" fillId="36" borderId="34" xfId="73" applyNumberFormat="1" applyFont="1" applyFill="1" applyAlignment="1">
      <alignment horizontal="right" wrapText="1"/>
    </xf>
    <xf numFmtId="49" fontId="11" fillId="0" borderId="0" xfId="0" applyNumberFormat="1" applyFont="1"/>
    <xf numFmtId="49" fontId="11" fillId="36" borderId="33" xfId="76" applyNumberFormat="1" applyFont="1" applyFill="1" applyBorder="1" applyAlignment="1">
      <alignment horizontal="left"/>
    </xf>
    <xf numFmtId="0" fontId="10" fillId="38" borderId="27" xfId="76" applyNumberFormat="1" applyFont="1" applyFill="1" applyBorder="1" applyAlignment="1">
      <alignment horizontal="right" wrapText="1"/>
    </xf>
    <xf numFmtId="0" fontId="11" fillId="0" borderId="0" xfId="75" applyNumberFormat="1" applyFont="1" applyFill="1" applyAlignment="1"/>
    <xf numFmtId="0" fontId="11" fillId="0" borderId="0" xfId="75" applyNumberFormat="1" applyFont="1" applyFill="1" applyBorder="1" applyAlignment="1">
      <alignment horizontal="center"/>
    </xf>
    <xf numFmtId="49" fontId="11" fillId="36" borderId="0" xfId="3" applyNumberFormat="1" applyFont="1" applyFill="1" applyAlignment="1">
      <alignment horizontal="left"/>
    </xf>
    <xf numFmtId="0" fontId="11" fillId="38" borderId="34" xfId="73" applyNumberFormat="1" applyFont="1" applyFill="1" applyAlignment="1">
      <alignment horizontal="right" wrapText="1"/>
    </xf>
    <xf numFmtId="49" fontId="10" fillId="38" borderId="27" xfId="76" applyNumberFormat="1" applyFont="1" applyFill="1" applyBorder="1" applyAlignment="1">
      <alignment horizontal="right" wrapText="1"/>
    </xf>
    <xf numFmtId="49" fontId="10" fillId="36" borderId="0" xfId="70" applyNumberFormat="1" applyFont="1" applyFill="1" applyBorder="1" applyAlignment="1">
      <alignment horizontal="left"/>
    </xf>
    <xf numFmtId="0" fontId="33" fillId="36" borderId="0" xfId="3" applyNumberFormat="1" applyFont="1" applyFill="1" applyAlignment="1">
      <alignment horizontal="left"/>
    </xf>
    <xf numFmtId="1" fontId="11" fillId="36" borderId="0" xfId="3" applyNumberFormat="1" applyFont="1" applyFill="1" applyAlignment="1">
      <alignment horizontal="left"/>
    </xf>
    <xf numFmtId="0" fontId="37" fillId="0" borderId="0" xfId="3"/>
    <xf numFmtId="0" fontId="10" fillId="36" borderId="27" xfId="76" applyNumberFormat="1" applyFont="1" applyFill="1" applyBorder="1" applyAlignment="1">
      <alignment horizontal="left" indent="2"/>
    </xf>
    <xf numFmtId="0" fontId="11" fillId="36" borderId="27" xfId="76" applyNumberFormat="1" applyFont="1" applyFill="1" applyBorder="1" applyAlignment="1">
      <alignment horizontal="left"/>
    </xf>
    <xf numFmtId="1" fontId="11" fillId="36" borderId="0" xfId="3" applyNumberFormat="1" applyFont="1" applyFill="1" applyBorder="1" applyAlignment="1">
      <alignment horizontal="left"/>
    </xf>
    <xf numFmtId="1" fontId="10" fillId="36" borderId="0" xfId="0" applyNumberFormat="1" applyFont="1" applyFill="1" applyAlignment="1">
      <alignment horizontal="left"/>
    </xf>
    <xf numFmtId="49" fontId="10" fillId="36" borderId="35" xfId="77" applyNumberFormat="1" applyFont="1" applyFill="1" applyBorder="1" applyAlignment="1">
      <alignment horizontal="left"/>
    </xf>
    <xf numFmtId="0" fontId="10" fillId="36" borderId="16" xfId="77" applyNumberFormat="1" applyFont="1" applyFill="1" applyBorder="1" applyAlignment="1">
      <alignment horizontal="left" indent="2"/>
    </xf>
    <xf numFmtId="0" fontId="10" fillId="36" borderId="0" xfId="71" applyNumberFormat="1" applyFont="1" applyFill="1" applyAlignment="1">
      <alignment horizontal="left" wrapText="1"/>
    </xf>
    <xf numFmtId="49" fontId="10" fillId="36" borderId="0" xfId="70" applyNumberFormat="1" applyFont="1" applyFill="1" applyBorder="1" applyAlignment="1"/>
    <xf numFmtId="49" fontId="10" fillId="36" borderId="34" xfId="80" applyNumberFormat="1" applyFont="1" applyFill="1" applyAlignment="1">
      <alignment horizontal="left"/>
    </xf>
    <xf numFmtId="49" fontId="10" fillId="36" borderId="30" xfId="73" applyNumberFormat="1" applyFont="1" applyFill="1" applyBorder="1" applyAlignment="1">
      <alignment horizontal="left"/>
    </xf>
    <xf numFmtId="49" fontId="11" fillId="36" borderId="30" xfId="73" applyNumberFormat="1" applyFont="1" applyFill="1" applyBorder="1" applyAlignment="1">
      <alignment horizontal="left" wrapText="1"/>
    </xf>
    <xf numFmtId="49" fontId="10" fillId="36" borderId="30" xfId="73" applyNumberFormat="1" applyFont="1" applyFill="1" applyBorder="1" applyAlignment="1">
      <alignment horizontal="left" wrapText="1"/>
    </xf>
    <xf numFmtId="49" fontId="11" fillId="36" borderId="32" xfId="76" applyNumberFormat="1" applyFont="1" applyFill="1" applyBorder="1" applyAlignment="1">
      <alignment horizontal="left"/>
    </xf>
    <xf numFmtId="49" fontId="11" fillId="36" borderId="0" xfId="0" applyNumberFormat="1" applyFont="1" applyFill="1" applyAlignment="1">
      <alignment horizontal="left"/>
    </xf>
    <xf numFmtId="49" fontId="10" fillId="0" borderId="0" xfId="70" applyNumberFormat="1" applyFont="1" applyFill="1" applyAlignment="1">
      <alignment horizontal="left"/>
    </xf>
    <xf numFmtId="0" fontId="10" fillId="36" borderId="0" xfId="70" applyNumberFormat="1" applyFont="1" applyFill="1" applyAlignment="1">
      <alignment horizontal="left"/>
    </xf>
    <xf numFmtId="0" fontId="10" fillId="36" borderId="0" xfId="70" applyNumberFormat="1" applyFont="1" applyFill="1" applyBorder="1" applyAlignment="1">
      <alignment horizontal="left"/>
    </xf>
    <xf numFmtId="0" fontId="33" fillId="0" borderId="0" xfId="70" applyNumberFormat="1" applyFont="1" applyFill="1" applyBorder="1" applyAlignment="1">
      <alignment horizontal="left"/>
    </xf>
    <xf numFmtId="0" fontId="10" fillId="0" borderId="0" xfId="70" applyNumberFormat="1" applyFont="1" applyFill="1" applyBorder="1" applyAlignment="1">
      <alignment horizontal="left"/>
    </xf>
    <xf numFmtId="49" fontId="11" fillId="36" borderId="0" xfId="93" applyNumberFormat="1" applyFont="1" applyFill="1" applyAlignment="1">
      <alignment horizontal="left" wrapText="1"/>
    </xf>
    <xf numFmtId="0" fontId="10" fillId="36" borderId="16" xfId="77" applyNumberFormat="1" applyFont="1" applyFill="1" applyBorder="1" applyAlignment="1">
      <alignment horizontal="left" wrapText="1" indent="2"/>
    </xf>
    <xf numFmtId="49" fontId="33" fillId="36" borderId="0" xfId="70" applyNumberFormat="1" applyFont="1" applyFill="1" applyBorder="1" applyAlignment="1">
      <alignment horizontal="left" wrapText="1"/>
    </xf>
    <xf numFmtId="49" fontId="10" fillId="36" borderId="0" xfId="70" applyNumberFormat="1" applyFont="1" applyFill="1" applyBorder="1" applyAlignment="1">
      <alignment horizontal="left" wrapText="1"/>
    </xf>
    <xf numFmtId="49" fontId="10" fillId="36" borderId="27" xfId="76" applyNumberFormat="1" applyFont="1" applyFill="1" applyBorder="1" applyAlignment="1">
      <alignment horizontal="left" wrapText="1" indent="2"/>
    </xf>
    <xf numFmtId="49" fontId="11" fillId="36" borderId="35" xfId="80" applyNumberFormat="1" applyFont="1" applyFill="1" applyBorder="1" applyAlignment="1">
      <alignment horizontal="left" wrapText="1"/>
    </xf>
    <xf numFmtId="49" fontId="10" fillId="36" borderId="35" xfId="80" applyNumberFormat="1" applyFont="1" applyFill="1" applyBorder="1" applyAlignment="1">
      <alignment horizontal="left" wrapText="1"/>
    </xf>
    <xf numFmtId="49" fontId="10" fillId="0" borderId="0" xfId="71" applyNumberFormat="1" applyFont="1" applyFill="1" applyBorder="1" applyAlignment="1">
      <alignment horizontal="left" wrapText="1"/>
    </xf>
    <xf numFmtId="49" fontId="10" fillId="36" borderId="16" xfId="77" applyNumberFormat="1" applyFont="1" applyFill="1" applyBorder="1" applyAlignment="1">
      <alignment horizontal="left" wrapText="1" indent="2"/>
    </xf>
    <xf numFmtId="49" fontId="11" fillId="36" borderId="0" xfId="3" applyNumberFormat="1" applyFont="1" applyFill="1" applyBorder="1" applyAlignment="1">
      <alignment horizontal="left" wrapText="1"/>
    </xf>
    <xf numFmtId="2" fontId="11" fillId="36" borderId="30" xfId="73" applyNumberFormat="1" applyFont="1" applyFill="1" applyBorder="1" applyAlignment="1">
      <alignment horizontal="left" wrapText="1"/>
    </xf>
    <xf numFmtId="0" fontId="10" fillId="36" borderId="26" xfId="3" applyNumberFormat="1" applyFont="1" applyFill="1" applyBorder="1"/>
    <xf numFmtId="0" fontId="10" fillId="36" borderId="0" xfId="3" applyNumberFormat="1" applyFont="1" applyFill="1"/>
    <xf numFmtId="49" fontId="0" fillId="36" borderId="27" xfId="76" applyNumberFormat="1" applyFont="1" applyFill="1" applyBorder="1" applyAlignment="1">
      <alignment horizontal="left" indent="2"/>
    </xf>
    <xf numFmtId="0" fontId="10" fillId="36" borderId="0" xfId="3" applyNumberFormat="1" applyFont="1" applyFill="1" applyBorder="1"/>
    <xf numFmtId="0" fontId="10" fillId="36" borderId="0" xfId="3" applyNumberFormat="1" applyFont="1" applyFill="1" applyAlignment="1">
      <alignment horizontal="center"/>
    </xf>
    <xf numFmtId="0" fontId="10" fillId="36" borderId="0" xfId="3" applyNumberFormat="1" applyFont="1" applyFill="1" applyBorder="1" applyAlignment="1">
      <alignment horizontal="left" wrapText="1"/>
    </xf>
    <xf numFmtId="49" fontId="10" fillId="36" borderId="0" xfId="93" applyNumberFormat="1" applyFont="1" applyFill="1" applyBorder="1" applyAlignment="1">
      <alignment horizontal="left" wrapText="1"/>
    </xf>
    <xf numFmtId="49" fontId="0" fillId="36" borderId="1" xfId="76" applyNumberFormat="1" applyFont="1" applyFill="1" applyAlignment="1">
      <alignment horizontal="left"/>
    </xf>
    <xf numFmtId="49" fontId="11" fillId="36" borderId="0" xfId="75" applyNumberFormat="1" applyFont="1" applyFill="1" applyBorder="1" applyAlignment="1">
      <alignment horizontal="right" wrapText="1"/>
    </xf>
    <xf numFmtId="49" fontId="11" fillId="0" borderId="1" xfId="76" applyNumberFormat="1" applyFont="1" applyFill="1" applyAlignment="1">
      <alignment horizontal="left" wrapText="1"/>
    </xf>
    <xf numFmtId="49" fontId="11" fillId="0" borderId="1" xfId="76" applyNumberFormat="1" applyFont="1" applyFill="1" applyAlignment="1">
      <alignment horizontal="left"/>
    </xf>
    <xf numFmtId="49" fontId="11" fillId="36" borderId="32" xfId="76" applyNumberFormat="1" applyFont="1" applyFill="1" applyBorder="1" applyAlignment="1"/>
    <xf numFmtId="49" fontId="11" fillId="36" borderId="27" xfId="76" applyNumberFormat="1" applyFont="1" applyFill="1" applyBorder="1" applyAlignment="1"/>
    <xf numFmtId="0" fontId="10" fillId="36" borderId="33" xfId="3" applyNumberFormat="1" applyFont="1" applyFill="1" applyBorder="1"/>
    <xf numFmtId="49" fontId="10" fillId="0" borderId="0" xfId="70" applyNumberFormat="1" applyFont="1" applyFill="1" applyBorder="1" applyAlignment="1">
      <alignment horizontal="left"/>
    </xf>
    <xf numFmtId="0" fontId="10" fillId="36" borderId="0" xfId="3" applyFont="1" applyFill="1" applyAlignment="1">
      <alignment horizontal="left" wrapText="1"/>
    </xf>
    <xf numFmtId="0" fontId="10" fillId="36" borderId="0" xfId="0" applyFont="1" applyFill="1" applyAlignment="1">
      <alignment horizontal="left" wrapText="1"/>
    </xf>
    <xf numFmtId="49" fontId="11" fillId="36" borderId="34" xfId="73" applyNumberFormat="1" applyFont="1" applyFill="1" applyBorder="1" applyAlignment="1">
      <alignment horizontal="left"/>
    </xf>
    <xf numFmtId="49" fontId="10" fillId="36" borderId="34" xfId="80" applyNumberFormat="1" applyFont="1" applyFill="1" applyAlignment="1">
      <alignment horizontal="left" wrapText="1"/>
    </xf>
    <xf numFmtId="49" fontId="33" fillId="36" borderId="0" xfId="3" applyNumberFormat="1" applyFont="1" applyFill="1" applyBorder="1" applyAlignment="1">
      <alignment horizontal="left"/>
    </xf>
    <xf numFmtId="49" fontId="10" fillId="36" borderId="0" xfId="0" applyNumberFormat="1" applyFont="1" applyFill="1" applyBorder="1" applyAlignment="1"/>
    <xf numFmtId="0" fontId="10" fillId="36" borderId="0" xfId="3" applyFont="1" applyFill="1" applyAlignment="1">
      <alignment wrapText="1"/>
    </xf>
    <xf numFmtId="49" fontId="10" fillId="0" borderId="27" xfId="76" applyNumberFormat="1" applyFont="1" applyFill="1" applyBorder="1" applyAlignment="1">
      <alignment horizontal="left" indent="2"/>
    </xf>
    <xf numFmtId="49" fontId="10" fillId="36" borderId="34" xfId="73" applyNumberFormat="1" applyFont="1" applyFill="1" applyBorder="1" applyAlignment="1">
      <alignment horizontal="left"/>
    </xf>
    <xf numFmtId="49" fontId="11" fillId="36" borderId="35" xfId="80" applyNumberFormat="1" applyFont="1" applyFill="1" applyBorder="1" applyAlignment="1">
      <alignment horizontal="left"/>
    </xf>
    <xf numFmtId="49" fontId="10" fillId="36" borderId="35" xfId="80" applyNumberFormat="1" applyFont="1" applyFill="1" applyBorder="1" applyAlignment="1">
      <alignment horizontal="left"/>
    </xf>
    <xf numFmtId="0" fontId="11" fillId="36" borderId="0" xfId="75" applyNumberFormat="1" applyFont="1" applyFill="1" applyBorder="1" applyAlignment="1">
      <alignment horizontal="right" wrapText="1"/>
    </xf>
    <xf numFmtId="49" fontId="10" fillId="0" borderId="34" xfId="77" applyNumberFormat="1" applyFont="1" applyFill="1" applyBorder="1" applyAlignment="1">
      <alignment horizontal="left" indent="2"/>
    </xf>
    <xf numFmtId="49" fontId="10" fillId="36" borderId="1" xfId="87" applyNumberFormat="1" applyFont="1" applyFill="1" applyBorder="1" applyAlignment="1">
      <alignment horizontal="left"/>
    </xf>
    <xf numFmtId="49" fontId="11" fillId="0" borderId="0" xfId="93" applyNumberFormat="1" applyFont="1" applyFill="1" applyAlignment="1"/>
    <xf numFmtId="49" fontId="11" fillId="0" borderId="0" xfId="75" applyNumberFormat="1" applyFont="1" applyFill="1" applyAlignment="1"/>
    <xf numFmtId="49" fontId="11" fillId="36" borderId="0" xfId="75" applyNumberFormat="1" applyFont="1" applyFill="1" applyAlignment="1">
      <alignment horizontal="left"/>
    </xf>
    <xf numFmtId="49" fontId="0" fillId="0" borderId="0" xfId="0" applyNumberFormat="1" applyFill="1" applyAlignment="1">
      <alignment horizontal="left" wrapText="1"/>
    </xf>
    <xf numFmtId="49" fontId="10" fillId="36" borderId="32" xfId="76" applyNumberFormat="1" applyFont="1" applyFill="1" applyBorder="1" applyAlignment="1">
      <alignment horizontal="center"/>
    </xf>
    <xf numFmtId="49" fontId="11" fillId="36" borderId="28" xfId="80" applyNumberFormat="1" applyFont="1" applyFill="1" applyBorder="1" applyAlignment="1">
      <alignment horizontal="left" wrapText="1"/>
    </xf>
    <xf numFmtId="49" fontId="10" fillId="36" borderId="32" xfId="76" applyNumberFormat="1" applyFont="1" applyFill="1" applyBorder="1" applyAlignment="1">
      <alignment horizontal="left" wrapText="1"/>
    </xf>
    <xf numFmtId="49" fontId="11" fillId="38" borderId="0" xfId="75" applyNumberFormat="1" applyFont="1" applyFill="1" applyAlignment="1">
      <alignment horizontal="right" vertical="top" wrapText="1"/>
    </xf>
    <xf numFmtId="49" fontId="10" fillId="0" borderId="0" xfId="62" applyNumberFormat="1" applyFont="1" applyFill="1" applyAlignment="1">
      <alignment horizontal="left" wrapText="1"/>
    </xf>
    <xf numFmtId="49" fontId="0" fillId="36" borderId="34" xfId="73" applyNumberFormat="1" applyFont="1" applyFill="1" applyAlignment="1">
      <alignment horizontal="left" wrapText="1"/>
    </xf>
    <xf numFmtId="49" fontId="10" fillId="36" borderId="32" xfId="76" applyNumberFormat="1" applyFont="1" applyFill="1" applyBorder="1" applyAlignment="1"/>
    <xf numFmtId="49" fontId="10" fillId="36" borderId="16" xfId="77" applyNumberFormat="1" applyFont="1" applyFill="1" applyBorder="1" applyAlignment="1"/>
    <xf numFmtId="49" fontId="11" fillId="36" borderId="28" xfId="80" applyNumberFormat="1" applyFont="1" applyFill="1" applyBorder="1" applyAlignment="1"/>
    <xf numFmtId="49" fontId="10" fillId="36" borderId="35" xfId="77" applyNumberFormat="1" applyFont="1" applyFill="1" applyBorder="1" applyAlignment="1">
      <alignment horizontal="left" wrapText="1"/>
    </xf>
    <xf numFmtId="49" fontId="11" fillId="36" borderId="35" xfId="77" applyNumberFormat="1" applyFont="1" applyFill="1" applyBorder="1" applyAlignment="1">
      <alignment horizontal="left" wrapText="1"/>
    </xf>
    <xf numFmtId="49" fontId="33" fillId="36" borderId="0" xfId="70" applyNumberFormat="1" applyFont="1" applyFill="1" applyAlignment="1">
      <alignment horizontal="left" vertical="top"/>
    </xf>
    <xf numFmtId="49" fontId="11" fillId="36" borderId="0" xfId="75" applyNumberFormat="1" applyFont="1" applyFill="1" applyAlignment="1">
      <alignment horizontal="left" wrapText="1"/>
    </xf>
    <xf numFmtId="49" fontId="10" fillId="36" borderId="0" xfId="0" applyNumberFormat="1" applyFont="1" applyFill="1"/>
    <xf numFmtId="49" fontId="11" fillId="36" borderId="0" xfId="75" applyNumberFormat="1" applyFont="1" applyFill="1" applyBorder="1" applyAlignment="1">
      <alignment horizontal="right"/>
    </xf>
    <xf numFmtId="1" fontId="10" fillId="36" borderId="0" xfId="0" applyNumberFormat="1" applyFont="1" applyFill="1" applyAlignment="1">
      <alignment wrapText="1"/>
    </xf>
  </cellXfs>
  <cellStyles count="94">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ar_border" xfId="77" xr:uid="{00000000-0005-0000-0000-000018000000}"/>
    <cellStyle name="ar_border 2" xfId="86" xr:uid="{6239B585-B52B-4584-956E-2F7F86DC3E90}"/>
    <cellStyle name="ar_border_pdf" xfId="80" xr:uid="{00000000-0005-0000-0000-000019000000}"/>
    <cellStyle name="ar_dottedborder" xfId="76" xr:uid="{00000000-0005-0000-0000-00001A000000}"/>
    <cellStyle name="ar_dottedborder_pagebreak2015" xfId="87" xr:uid="{26775B2F-91D8-4C18-86D6-98B871388ECC}"/>
    <cellStyle name="ar_head" xfId="70" xr:uid="{00000000-0005-0000-0000-00001B000000}"/>
    <cellStyle name="ar_leveys107" xfId="69" xr:uid="{00000000-0005-0000-0000-00001C000000}"/>
    <cellStyle name="ar_leveys110" xfId="79" xr:uid="{00000000-0005-0000-0000-00001D000000}"/>
    <cellStyle name="ar_leveys120" xfId="67" xr:uid="{00000000-0005-0000-0000-00001E000000}"/>
    <cellStyle name="ar_leveys20" xfId="71" xr:uid="{00000000-0005-0000-0000-00001F000000}"/>
    <cellStyle name="ar_leveys20 2" xfId="89" xr:uid="{7E1FD93B-3AE0-4956-8B4F-042370F86F52}"/>
    <cellStyle name="ar_leveys30" xfId="78" xr:uid="{00000000-0005-0000-0000-000020000000}"/>
    <cellStyle name="ar_leveys460" xfId="83" xr:uid="{00000000-0005-0000-0000-000021000000}"/>
    <cellStyle name="ar_leveys50" xfId="66" xr:uid="{00000000-0005-0000-0000-000022000000}"/>
    <cellStyle name="ar_leveys55" xfId="90" xr:uid="{19C027FB-9552-4946-AF0A-811F670FA2E9}"/>
    <cellStyle name="ar_leveys60" xfId="65" xr:uid="{00000000-0005-0000-0000-000023000000}"/>
    <cellStyle name="ar_leveys64" xfId="72" xr:uid="{00000000-0005-0000-0000-000024000000}"/>
    <cellStyle name="ar_leveys70" xfId="63" xr:uid="{00000000-0005-0000-0000-000025000000}"/>
    <cellStyle name="ar_leveys80" xfId="68" xr:uid="{00000000-0005-0000-0000-000026000000}"/>
    <cellStyle name="ar_leveys90" xfId="64" xr:uid="{00000000-0005-0000-0000-000028000000}"/>
    <cellStyle name="ar_pagebreak" xfId="62" xr:uid="{00000000-0005-0000-0000-000029000000}"/>
    <cellStyle name="ar_pagebreak2015" xfId="93" xr:uid="{F21F4282-1D01-426F-998B-DEB10D712AE6}"/>
    <cellStyle name="ar_smallheading" xfId="73" xr:uid="{00000000-0005-0000-0000-00002B000000}"/>
    <cellStyle name="ar_smallheading_noborder" xfId="75" xr:uid="{00000000-0005-0000-0000-00002C000000}"/>
    <cellStyle name="ar-middle" xfId="74" xr:uid="{00000000-0005-0000-0000-00002D000000}"/>
    <cellStyle name="ar-smallheading" xfId="85" xr:uid="{00000000-0005-0000-0000-00002E000000}"/>
    <cellStyle name="ar-smallheading 2" xfId="91" xr:uid="{D799A134-B2BE-4845-8478-A5DD51C865ED}"/>
    <cellStyle name="ar-strictseparator" xfId="84" xr:uid="{00000000-0005-0000-0000-00002F000000}"/>
    <cellStyle name="Bad" xfId="11" builtinId="27" customBuiltin="1"/>
    <cellStyle name="Calculation" xfId="15" builtinId="22" customBuiltin="1"/>
    <cellStyle name="Check Cell" xfId="17" builtinId="23" customBuiltin="1"/>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2" xfId="50" xr:uid="{00000000-0005-0000-0000-00003C000000}"/>
    <cellStyle name="Input" xfId="13" builtinId="20" customBuiltin="1"/>
    <cellStyle name="Linked Cell" xfId="16" builtinId="24" customBuiltin="1"/>
    <cellStyle name="Neutral" xfId="12" builtinId="28" customBuiltin="1"/>
    <cellStyle name="Normal" xfId="0" builtinId="0" customBuiltin="1"/>
    <cellStyle name="Normal 2" xfId="82" xr:uid="{00000000-0005-0000-0000-000041000000}"/>
    <cellStyle name="Normal 2 3 2" xfId="92" xr:uid="{2113437A-F515-4403-8C03-E9A36ECDCA01}"/>
    <cellStyle name="Normal 3" xfId="81" xr:uid="{00000000-0005-0000-0000-000042000000}"/>
    <cellStyle name="Normal 4" xfId="88" xr:uid="{76BD0BDA-A0D4-4CCD-A234-3314288BC1FB}"/>
    <cellStyle name="Normal_Five Years in Figures" xfId="1" xr:uid="{00000000-0005-0000-0000-000043000000}"/>
    <cellStyle name="Normal_IS_BS_CF_EQ_2008" xfId="2" xr:uid="{00000000-0005-0000-0000-000045000000}"/>
    <cellStyle name="Normal_Notes 2008" xfId="3" xr:uid="{00000000-0005-0000-0000-000048000000}"/>
    <cellStyle name="Normale_2000" xfId="4" xr:uid="{00000000-0005-0000-0000-00004A000000}"/>
    <cellStyle name="Note 2" xfId="48" xr:uid="{00000000-0005-0000-0000-00004B000000}"/>
    <cellStyle name="Output" xfId="14" builtinId="21" customBuiltin="1"/>
    <cellStyle name="Percent 10" xfId="55" xr:uid="{00000000-0005-0000-0000-00004E000000}"/>
    <cellStyle name="Percent 11" xfId="56" xr:uid="{00000000-0005-0000-0000-00004F000000}"/>
    <cellStyle name="Percent 12" xfId="57" xr:uid="{00000000-0005-0000-0000-000050000000}"/>
    <cellStyle name="Percent 13" xfId="58" xr:uid="{00000000-0005-0000-0000-000051000000}"/>
    <cellStyle name="Percent 14" xfId="59" xr:uid="{00000000-0005-0000-0000-000052000000}"/>
    <cellStyle name="Percent 15" xfId="60" xr:uid="{00000000-0005-0000-0000-000053000000}"/>
    <cellStyle name="Percent 16" xfId="61" xr:uid="{00000000-0005-0000-0000-000054000000}"/>
    <cellStyle name="Percent 2" xfId="45" xr:uid="{00000000-0005-0000-0000-000055000000}"/>
    <cellStyle name="Percent 3" xfId="49" xr:uid="{00000000-0005-0000-0000-000056000000}"/>
    <cellStyle name="Percent 4" xfId="47" xr:uid="{00000000-0005-0000-0000-000057000000}"/>
    <cellStyle name="Percent 5" xfId="52" xr:uid="{00000000-0005-0000-0000-000058000000}"/>
    <cellStyle name="Percent 6" xfId="46" xr:uid="{00000000-0005-0000-0000-000059000000}"/>
    <cellStyle name="Percent 7" xfId="51" xr:uid="{00000000-0005-0000-0000-00005A000000}"/>
    <cellStyle name="Percent 8" xfId="53" xr:uid="{00000000-0005-0000-0000-00005B000000}"/>
    <cellStyle name="Percent 9" xfId="54" xr:uid="{00000000-0005-0000-0000-00005C000000}"/>
    <cellStyle name="Title" xfId="5" builtinId="15" customBuiltin="1"/>
    <cellStyle name="Total" xfId="20" builtinId="25" customBuiltin="1"/>
    <cellStyle name="Warning Text" xfId="18" builtinId="11" customBuiltin="1"/>
  </cellStyles>
  <dxfs count="0"/>
  <tableStyles count="0" defaultTableStyle="TableStyleMedium9" defaultPivotStyle="PivotStyleLight16"/>
  <colors>
    <mruColors>
      <color rgb="FFEBEBEB"/>
      <color rgb="FF66FF33"/>
      <color rgb="FFFF6600"/>
      <color rgb="FFFFCCFF"/>
      <color rgb="FFFF33CC"/>
      <color rgb="FFFFFFCC"/>
      <color rgb="FF996633"/>
      <color rgb="FF339933"/>
      <color rgb="FF0066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8" Type="http://schemas.openxmlformats.org/officeDocument/2006/relationships/hyperlink" Target="http://www.wartsilareports.com/en-US/2019/ar/financial-review/financial-statements/consolidated-financial-statements/notes-to-the-consolidated-financial-statements/" TargetMode="External"/><Relationship Id="rId13" Type="http://schemas.openxmlformats.org/officeDocument/2006/relationships/hyperlink" Target="http://www.wartsilareports.com/en-US/2019/ar/financial-review/financial-statements/consolidated-financial-statements/notes-to-the-consolidated-financial-statements/" TargetMode="External"/><Relationship Id="rId3" Type="http://schemas.openxmlformats.org/officeDocument/2006/relationships/hyperlink" Target="http://www.wartsilareports.com/en-US/2019/ar/financial-review/financial-statements/consolidated-financial-statements/notes-to-the-consolidated-financial-statements/" TargetMode="External"/><Relationship Id="rId7" Type="http://schemas.openxmlformats.org/officeDocument/2006/relationships/hyperlink" Target="http://www.wartsilareports.com/en-US/2019/ar/financial-review/financial-statements/consolidated-financial-statements/notes-to-the-consolidated-financial-statements/" TargetMode="External"/><Relationship Id="rId12" Type="http://schemas.openxmlformats.org/officeDocument/2006/relationships/hyperlink" Target="http://www.wartsilareports.com/en-US/2019/ar/financial-review/financial-statements/consolidated-financial-statements/notes-to-the-consolidated-financial-statements/" TargetMode="External"/><Relationship Id="rId2" Type="http://schemas.openxmlformats.org/officeDocument/2006/relationships/hyperlink" Target="http://www.wartsilareports.com/en-US/2019/ar/financial-review/financial-statements/consolidated-financial-statements/notes-to-the-consolidated-financial-statements/" TargetMode="External"/><Relationship Id="rId1" Type="http://schemas.openxmlformats.org/officeDocument/2006/relationships/hyperlink" Target="http://www.wartsilareports.com/en-US/2019/ar/financial-review/financial-statements/consolidated-financial-statements/notes-to-the-consolidated-financial-statements/" TargetMode="External"/><Relationship Id="rId6" Type="http://schemas.openxmlformats.org/officeDocument/2006/relationships/hyperlink" Target="http://www.wartsilareports.com/en-US/2019/ar/financial-review/financial-statements/consolidated-financial-statements/notes-to-the-consolidated-financial-statements/" TargetMode="External"/><Relationship Id="rId11" Type="http://schemas.openxmlformats.org/officeDocument/2006/relationships/hyperlink" Target="http://www.wartsilareports.com/en-US/2019/ar/financial-review/financial-statements/consolidated-financial-statements/notes-to-the-consolidated-financial-statements/" TargetMode="External"/><Relationship Id="rId5" Type="http://schemas.openxmlformats.org/officeDocument/2006/relationships/hyperlink" Target="http://www.wartsilareports.com/en-US/2019/ar/financial-review/financial-statements/consolidated-financial-statements/notes-to-the-consolidated-financial-statements/" TargetMode="External"/><Relationship Id="rId15" Type="http://schemas.openxmlformats.org/officeDocument/2006/relationships/customProperty" Target="../customProperty6.bin"/><Relationship Id="rId10" Type="http://schemas.openxmlformats.org/officeDocument/2006/relationships/hyperlink" Target="http://www.wartsilareports.com/en-US/2019/ar/financial-review/financial-statements/consolidated-financial-statements/notes-to-the-consolidated-financial-statements/" TargetMode="External"/><Relationship Id="rId4" Type="http://schemas.openxmlformats.org/officeDocument/2006/relationships/hyperlink" Target="http://www.wartsilareports.com/en-US/2019/ar/financial-review/financial-statements/consolidated-financial-statements/notes-to-the-consolidated-financial-statements/" TargetMode="External"/><Relationship Id="rId9" Type="http://schemas.openxmlformats.org/officeDocument/2006/relationships/hyperlink" Target="http://www.wartsilareports.com/en-US/2019/ar/financial-review/financial-statements/consolidated-financial-statements/notes-to-the-consolidated-financial-statements/" TargetMode="External"/><Relationship Id="rId14"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printerSettings" Target="../printerSettings/printerSettings5.bin"/><Relationship Id="rId1" Type="http://schemas.openxmlformats.org/officeDocument/2006/relationships/hyperlink" Target="http://www.wartsilareports.com/en-US/2019/ar/financial-review/financial-statements/consolidated-financial-statements/notes-to-the-consolidated-financial-statement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wartsilareports.com/en-US/2019/ar/financial-review/financial-statements/consolidated-financial-statements/notes-to-the-consolidated-financial-statements/" TargetMode="External"/><Relationship Id="rId13" Type="http://schemas.openxmlformats.org/officeDocument/2006/relationships/hyperlink" Target="http://www.wartsilareports.com/en-US/2019/ar/financial-review/financial-statements/consolidated-financial-statements/notes-to-the-consolidated-financial-statements/" TargetMode="External"/><Relationship Id="rId18" Type="http://schemas.openxmlformats.org/officeDocument/2006/relationships/hyperlink" Target="http://www.wartsilareports.com/en-US/2019/ar/financial-review/financial-statements/consolidated-financial-statements/notes-to-the-consolidated-financial-statements/" TargetMode="External"/><Relationship Id="rId26" Type="http://schemas.openxmlformats.org/officeDocument/2006/relationships/hyperlink" Target="http://www.wartsilareports.com/en-US/2019/ar/financial-review/financial-statements/consolidated-financial-statements/notes-to-the-consolidated-financial-statements/" TargetMode="External"/><Relationship Id="rId39" Type="http://schemas.openxmlformats.org/officeDocument/2006/relationships/hyperlink" Target="http://www.wartsilareports.com/en-US/2019/ar/financial-review/financial-statements/consolidated-financial-statements/notes-to-the-consolidated-financial-statements/" TargetMode="External"/><Relationship Id="rId3" Type="http://schemas.openxmlformats.org/officeDocument/2006/relationships/hyperlink" Target="http://www.wartsilareports.com/en-US/2019/ar/financial-review/financial-statements/consolidated-financial-statements/notes-to-the-consolidated-financial-statements/" TargetMode="External"/><Relationship Id="rId21" Type="http://schemas.openxmlformats.org/officeDocument/2006/relationships/hyperlink" Target="http://www.wartsilareports.com/en-US/2019/ar/financial-review/financial-statements/consolidated-financial-statements/notes-to-the-consolidated-financial-statements/" TargetMode="External"/><Relationship Id="rId34" Type="http://schemas.openxmlformats.org/officeDocument/2006/relationships/hyperlink" Target="http://www.wartsilareports.com/en-US/2019/ar/financial-review/financial-statements/consolidated-financial-statements/notes-to-the-consolidated-financial-statements/" TargetMode="External"/><Relationship Id="rId42" Type="http://schemas.openxmlformats.org/officeDocument/2006/relationships/customProperty" Target="../customProperty8.bin"/><Relationship Id="rId7" Type="http://schemas.openxmlformats.org/officeDocument/2006/relationships/hyperlink" Target="http://www.wartsilareports.com/en-US/2019/ar/financial-review/financial-statements/consolidated-financial-statements/notes-to-the-consolidated-financial-statements/" TargetMode="External"/><Relationship Id="rId12" Type="http://schemas.openxmlformats.org/officeDocument/2006/relationships/hyperlink" Target="http://www.wartsilareports.com/en-US/2019/ar/financial-review/financial-statements/consolidated-financial-statements/notes-to-the-consolidated-financial-statements/" TargetMode="External"/><Relationship Id="rId17" Type="http://schemas.openxmlformats.org/officeDocument/2006/relationships/hyperlink" Target="http://www.wartsilareports.com/en-US/2019/ar/financial-review/financial-statements/consolidated-financial-statements/notes-to-the-consolidated-financial-statements/" TargetMode="External"/><Relationship Id="rId25" Type="http://schemas.openxmlformats.org/officeDocument/2006/relationships/hyperlink" Target="http://www.wartsilareports.com/en-US/2019/ar/financial-review/financial-statements/consolidated-financial-statements/notes-to-the-consolidated-financial-statements/" TargetMode="External"/><Relationship Id="rId33" Type="http://schemas.openxmlformats.org/officeDocument/2006/relationships/hyperlink" Target="http://www.wartsilareports.com/en-US/2019/ar/financial-review/financial-statements/consolidated-financial-statements/notes-to-the-consolidated-financial-statements/" TargetMode="External"/><Relationship Id="rId38" Type="http://schemas.openxmlformats.org/officeDocument/2006/relationships/hyperlink" Target="http://www.wartsilareports.com/en-US/2019/ar/financial-review/financial-statements/consolidated-financial-statements/notes-to-the-consolidated-financial-statements/" TargetMode="External"/><Relationship Id="rId2" Type="http://schemas.openxmlformats.org/officeDocument/2006/relationships/hyperlink" Target="http://www.wartsilareports.com/en-US/2019/ar/financial-review/financial-statements/consolidated-financial-statements/notes-to-the-consolidated-financial-statements/" TargetMode="External"/><Relationship Id="rId16" Type="http://schemas.openxmlformats.org/officeDocument/2006/relationships/hyperlink" Target="http://www.wartsilareports.com/en-US/2019/ar/financial-review/financial-statements/consolidated-financial-statements/notes-to-the-consolidated-financial-statements/" TargetMode="External"/><Relationship Id="rId20" Type="http://schemas.openxmlformats.org/officeDocument/2006/relationships/hyperlink" Target="http://www.wartsilareports.com/en-US/2019/ar/financial-review/financial-statements/consolidated-financial-statements/notes-to-the-consolidated-financial-statements/" TargetMode="External"/><Relationship Id="rId29" Type="http://schemas.openxmlformats.org/officeDocument/2006/relationships/hyperlink" Target="http://www.wartsilareports.com/en-US/2019/ar/financial-review/financial-statements/consolidated-financial-statements/notes-to-the-consolidated-financial-statements/" TargetMode="External"/><Relationship Id="rId41" Type="http://schemas.openxmlformats.org/officeDocument/2006/relationships/printerSettings" Target="../printerSettings/printerSettings6.bin"/><Relationship Id="rId1" Type="http://schemas.openxmlformats.org/officeDocument/2006/relationships/hyperlink" Target="http://www.wartsilareports.com/en-US/2019/ar/financial-review/financial-statements/consolidated-financial-statements/notes-to-the-consolidated-financial-statements/" TargetMode="External"/><Relationship Id="rId6" Type="http://schemas.openxmlformats.org/officeDocument/2006/relationships/hyperlink" Target="http://www.wartsilareports.com/en-US/2019/ar/financial-review/financial-statements/consolidated-financial-statements/notes-to-the-consolidated-financial-statements/" TargetMode="External"/><Relationship Id="rId11" Type="http://schemas.openxmlformats.org/officeDocument/2006/relationships/hyperlink" Target="http://www.wartsilareports.com/en-US/2019/ar/financial-review/financial-statements/consolidated-financial-statements/notes-to-the-consolidated-financial-statements/" TargetMode="External"/><Relationship Id="rId24" Type="http://schemas.openxmlformats.org/officeDocument/2006/relationships/hyperlink" Target="http://www.wartsilareports.com/en-US/2019/ar/financial-review/financial-statements/consolidated-financial-statements/notes-to-the-consolidated-financial-statements/" TargetMode="External"/><Relationship Id="rId32" Type="http://schemas.openxmlformats.org/officeDocument/2006/relationships/hyperlink" Target="http://www.wartsilareports.com/en-US/2019/ar/financial-review/financial-statements/consolidated-financial-statements/notes-to-the-consolidated-financial-statements/" TargetMode="External"/><Relationship Id="rId37" Type="http://schemas.openxmlformats.org/officeDocument/2006/relationships/hyperlink" Target="http://www.wartsilareports.com/en-US/2019/ar/financial-review/financial-statements/consolidated-financial-statements/notes-to-the-consolidated-financial-statements/" TargetMode="External"/><Relationship Id="rId40" Type="http://schemas.openxmlformats.org/officeDocument/2006/relationships/hyperlink" Target="http://www.wartsilareports.com/en-US/2019/ar/financial-review/financial-statements/consolidated-financial-statements/notes-to-the-consolidated-financial-statements/" TargetMode="External"/><Relationship Id="rId5" Type="http://schemas.openxmlformats.org/officeDocument/2006/relationships/hyperlink" Target="http://www.wartsilareports.com/en-US/2019/ar/financial-review/financial-statements/consolidated-financial-statements/notes-to-the-consolidated-financial-statements/" TargetMode="External"/><Relationship Id="rId15" Type="http://schemas.openxmlformats.org/officeDocument/2006/relationships/hyperlink" Target="http://www.wartsilareports.com/en-US/2019/ar/financial-review/financial-statements/consolidated-financial-statements/notes-to-the-consolidated-financial-statements/" TargetMode="External"/><Relationship Id="rId23" Type="http://schemas.openxmlformats.org/officeDocument/2006/relationships/hyperlink" Target="http://www.wartsilareports.com/en-US/2019/ar/financial-review/financial-statements/consolidated-financial-statements/notes-to-the-consolidated-financial-statements/" TargetMode="External"/><Relationship Id="rId28" Type="http://schemas.openxmlformats.org/officeDocument/2006/relationships/hyperlink" Target="http://www.wartsilareports.com/en-US/2019/ar/financial-review/financial-statements/consolidated-financial-statements/notes-to-the-consolidated-financial-statements/" TargetMode="External"/><Relationship Id="rId36" Type="http://schemas.openxmlformats.org/officeDocument/2006/relationships/hyperlink" Target="http://www.wartsilareports.com/en-US/2019/ar/financial-review/financial-statements/consolidated-financial-statements/notes-to-the-consolidated-financial-statements/" TargetMode="External"/><Relationship Id="rId10" Type="http://schemas.openxmlformats.org/officeDocument/2006/relationships/hyperlink" Target="http://www.wartsilareports.com/en-US/2019/ar/financial-review/financial-statements/consolidated-financial-statements/notes-to-the-consolidated-financial-statements/" TargetMode="External"/><Relationship Id="rId19" Type="http://schemas.openxmlformats.org/officeDocument/2006/relationships/hyperlink" Target="http://www.wartsilareports.com/en-US/2019/ar/financial-review/financial-statements/consolidated-financial-statements/notes-to-the-consolidated-financial-statements/" TargetMode="External"/><Relationship Id="rId31" Type="http://schemas.openxmlformats.org/officeDocument/2006/relationships/hyperlink" Target="http://www.wartsilareports.com/en-US/2019/ar/financial-review/financial-statements/consolidated-financial-statements/notes-to-the-consolidated-financial-statements/" TargetMode="External"/><Relationship Id="rId4" Type="http://schemas.openxmlformats.org/officeDocument/2006/relationships/hyperlink" Target="http://www.wartsilareports.com/en-US/2019/ar/financial-review/financial-statements/consolidated-financial-statements/notes-to-the-consolidated-financial-statements/" TargetMode="External"/><Relationship Id="rId9" Type="http://schemas.openxmlformats.org/officeDocument/2006/relationships/hyperlink" Target="http://www.wartsilareports.com/en-US/2019/ar/financial-review/financial-statements/consolidated-financial-statements/notes-to-the-consolidated-financial-statements/" TargetMode="External"/><Relationship Id="rId14" Type="http://schemas.openxmlformats.org/officeDocument/2006/relationships/hyperlink" Target="http://www.wartsilareports.com/en-US/2019/ar/financial-review/financial-statements/consolidated-financial-statements/notes-to-the-consolidated-financial-statements/" TargetMode="External"/><Relationship Id="rId22" Type="http://schemas.openxmlformats.org/officeDocument/2006/relationships/hyperlink" Target="http://www.wartsilareports.com/en-US/2019/ar/financial-review/financial-statements/consolidated-financial-statements/notes-to-the-consolidated-financial-statements/" TargetMode="External"/><Relationship Id="rId27" Type="http://schemas.openxmlformats.org/officeDocument/2006/relationships/hyperlink" Target="http://www.wartsilareports.com/en-US/2019/ar/financial-review/financial-statements/consolidated-financial-statements/notes-to-the-consolidated-financial-statements/" TargetMode="External"/><Relationship Id="rId30" Type="http://schemas.openxmlformats.org/officeDocument/2006/relationships/hyperlink" Target="http://www.wartsilareports.com/en-US/2019/ar/financial-review/financial-statements/consolidated-financial-statements/notes-to-the-consolidated-financial-statements/" TargetMode="External"/><Relationship Id="rId35" Type="http://schemas.openxmlformats.org/officeDocument/2006/relationships/hyperlink" Target="http://www.wartsilareports.com/en-US/2019/ar/financial-review/financial-statements/consolidated-financial-statements/notes-to-the-consolidated-financial-statement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wartsilareports.com/en-US/2019/ar/financial-review/financial-statements/consolidated-financial-statements/notes-to-the-consolidated-financial-statements/" TargetMode="External"/><Relationship Id="rId13" Type="http://schemas.openxmlformats.org/officeDocument/2006/relationships/hyperlink" Target="http://www.wartsilareports.com/en-US/2019/ar/financial-review/financial-statements/consolidated-financial-statements/notes-to-the-consolidated-financial-statements/" TargetMode="External"/><Relationship Id="rId3" Type="http://schemas.openxmlformats.org/officeDocument/2006/relationships/hyperlink" Target="http://www.wartsilareports.com/en-US/2019/ar/financial-review/financial-statements/consolidated-financial-statements/notes-to-the-consolidated-financial-statements/" TargetMode="External"/><Relationship Id="rId7" Type="http://schemas.openxmlformats.org/officeDocument/2006/relationships/hyperlink" Target="http://www.wartsilareports.com/en-US/2019/ar/financial-review/financial-statements/consolidated-financial-statements/notes-to-the-consolidated-financial-statements/" TargetMode="External"/><Relationship Id="rId12" Type="http://schemas.openxmlformats.org/officeDocument/2006/relationships/hyperlink" Target="http://www.wartsilareports.com/en-US/2019/ar/financial-review/financial-statements/consolidated-financial-statements/notes-to-the-consolidated-financial-statements/" TargetMode="External"/><Relationship Id="rId2" Type="http://schemas.openxmlformats.org/officeDocument/2006/relationships/hyperlink" Target="http://www.wartsilareports.com/en-US/2019/ar/financial-review/financial-statements/consolidated-financial-statements/notes-to-the-consolidated-financial-statements/" TargetMode="External"/><Relationship Id="rId16" Type="http://schemas.openxmlformats.org/officeDocument/2006/relationships/customProperty" Target="../customProperty9.bin"/><Relationship Id="rId1" Type="http://schemas.openxmlformats.org/officeDocument/2006/relationships/hyperlink" Target="http://www.wartsilareports.com/en-US/2019/ar/financial-review/financial-statements/consolidated-financial-statements/notes-to-the-consolidated-financial-statements/" TargetMode="External"/><Relationship Id="rId6" Type="http://schemas.openxmlformats.org/officeDocument/2006/relationships/hyperlink" Target="http://www.wartsilareports.com/en-US/2019/ar/financial-review/financial-statements/consolidated-financial-statements/notes-to-the-consolidated-financial-statements/" TargetMode="External"/><Relationship Id="rId11" Type="http://schemas.openxmlformats.org/officeDocument/2006/relationships/hyperlink" Target="http://www.wartsilareports.com/en-US/2019/ar/financial-review/financial-statements/consolidated-financial-statements/notes-to-the-consolidated-financial-statements/" TargetMode="External"/><Relationship Id="rId5" Type="http://schemas.openxmlformats.org/officeDocument/2006/relationships/hyperlink" Target="http://www.wartsilareports.com/en-US/2019/ar/financial-review/financial-statements/consolidated-financial-statements/notes-to-the-consolidated-financial-statements/" TargetMode="External"/><Relationship Id="rId15" Type="http://schemas.openxmlformats.org/officeDocument/2006/relationships/printerSettings" Target="../printerSettings/printerSettings7.bin"/><Relationship Id="rId10" Type="http://schemas.openxmlformats.org/officeDocument/2006/relationships/hyperlink" Target="http://www.wartsilareports.com/en-US/2019/ar/financial-review/financial-statements/consolidated-financial-statements/notes-to-the-consolidated-financial-statements/" TargetMode="External"/><Relationship Id="rId4" Type="http://schemas.openxmlformats.org/officeDocument/2006/relationships/hyperlink" Target="http://www.wartsilareports.com/en-US/2019/ar/financial-review/financial-statements/consolidated-financial-statements/notes-to-the-consolidated-financial-statements/" TargetMode="External"/><Relationship Id="rId9" Type="http://schemas.openxmlformats.org/officeDocument/2006/relationships/hyperlink" Target="http://www.wartsilareports.com/en-US/2019/ar/financial-review/financial-statements/consolidated-financial-statements/notes-to-the-consolidated-financial-statements/" TargetMode="External"/><Relationship Id="rId14" Type="http://schemas.openxmlformats.org/officeDocument/2006/relationships/hyperlink" Target="http://www.wartsilareports.com/en-US/2019/ar/financial-review/financial-statements/consolidated-financial-statements/notes-to-the-consolidated-financial-statements/" TargetMode="External"/></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Q64"/>
  <sheetViews>
    <sheetView tabSelected="1" zoomScaleNormal="100" zoomScalePageLayoutView="150" workbookViewId="0">
      <selection sqref="A1:H1"/>
    </sheetView>
  </sheetViews>
  <sheetFormatPr defaultColWidth="8.6640625" defaultRowHeight="11.25"/>
  <cols>
    <col min="1" max="1" width="2.5" style="224" customWidth="1"/>
    <col min="2" max="2" width="64.1640625" style="224" customWidth="1"/>
    <col min="3" max="3" width="5" style="228" customWidth="1"/>
    <col min="4" max="8" width="11.6640625" style="229" customWidth="1"/>
    <col min="9" max="9" width="9" style="235" customWidth="1"/>
    <col min="10" max="10" width="20.5" style="235" customWidth="1"/>
    <col min="11" max="11" width="3.6640625" style="235" customWidth="1"/>
    <col min="12" max="17" width="3.6640625" style="205" customWidth="1"/>
    <col min="18" max="16384" width="8.6640625" style="1149"/>
  </cols>
  <sheetData>
    <row r="1" spans="1:17" s="1152" customFormat="1" ht="15.75">
      <c r="A1" s="1225" t="s">
        <v>921</v>
      </c>
      <c r="B1" s="1226"/>
      <c r="C1" s="1226"/>
      <c r="D1" s="1226"/>
      <c r="E1" s="1226"/>
      <c r="F1" s="1226"/>
      <c r="G1" s="1226"/>
      <c r="H1" s="1226"/>
      <c r="I1" s="235"/>
      <c r="J1" s="235"/>
      <c r="K1" s="235"/>
      <c r="L1" s="205"/>
      <c r="M1" s="205"/>
      <c r="N1" s="205"/>
      <c r="O1" s="205"/>
      <c r="P1" s="205"/>
      <c r="Q1" s="205"/>
    </row>
    <row r="2" spans="1:17" ht="11.1" customHeight="1">
      <c r="A2" s="218"/>
      <c r="B2" s="592" t="s">
        <v>1057</v>
      </c>
      <c r="C2" s="593" t="s">
        <v>1057</v>
      </c>
      <c r="D2" s="594" t="s">
        <v>1057</v>
      </c>
      <c r="E2" s="221"/>
      <c r="F2" s="221"/>
      <c r="G2" s="221"/>
      <c r="H2" s="221"/>
    </row>
    <row r="3" spans="1:17" ht="79.5" customHeight="1">
      <c r="A3" s="1232" t="s">
        <v>1648</v>
      </c>
      <c r="B3" s="1232"/>
      <c r="C3" s="1232"/>
      <c r="D3" s="1232"/>
      <c r="E3" s="1232"/>
      <c r="F3" s="1232"/>
      <c r="G3" s="1232"/>
      <c r="H3" s="1232"/>
      <c r="L3" s="875"/>
      <c r="M3" s="875"/>
      <c r="N3" s="875"/>
      <c r="O3" s="875"/>
      <c r="P3" s="875"/>
      <c r="Q3" s="875"/>
    </row>
    <row r="4" spans="1:17" ht="11.1" customHeight="1">
      <c r="A4" s="218"/>
      <c r="B4" s="592"/>
      <c r="C4" s="593"/>
      <c r="D4" s="594"/>
      <c r="E4" s="221"/>
      <c r="F4" s="221"/>
      <c r="G4" s="221"/>
      <c r="H4" s="221"/>
      <c r="L4" s="875"/>
      <c r="M4" s="875"/>
      <c r="N4" s="875"/>
      <c r="O4" s="875"/>
      <c r="P4" s="875"/>
      <c r="Q4" s="875"/>
    </row>
    <row r="5" spans="1:17" ht="11.25" customHeight="1">
      <c r="A5" s="207"/>
      <c r="B5" s="595" t="s">
        <v>1057</v>
      </c>
      <c r="C5" s="596" t="s">
        <v>1057</v>
      </c>
      <c r="D5" s="597" t="s">
        <v>1057</v>
      </c>
      <c r="F5" s="437" t="s">
        <v>995</v>
      </c>
      <c r="G5" s="426"/>
      <c r="H5" s="426"/>
      <c r="I5" s="818"/>
      <c r="J5" s="818"/>
      <c r="K5" s="818"/>
      <c r="L5" s="207"/>
      <c r="M5" s="207"/>
      <c r="N5" s="207"/>
      <c r="O5" s="207"/>
      <c r="P5" s="207"/>
      <c r="Q5" s="207"/>
    </row>
    <row r="6" spans="1:17" ht="11.25" customHeight="1">
      <c r="A6" s="1227" t="s">
        <v>700</v>
      </c>
      <c r="B6" s="1228"/>
      <c r="C6" s="425"/>
      <c r="D6" s="529">
        <v>2019</v>
      </c>
      <c r="E6" s="230">
        <v>2018</v>
      </c>
      <c r="F6" s="230" t="s">
        <v>1259</v>
      </c>
      <c r="G6" s="230">
        <v>2016</v>
      </c>
      <c r="H6" s="230">
        <v>2015</v>
      </c>
      <c r="I6" s="1230"/>
      <c r="J6" s="1231"/>
      <c r="K6" s="819"/>
    </row>
    <row r="7" spans="1:17" ht="11.25" customHeight="1">
      <c r="A7" s="1223" t="s">
        <v>501</v>
      </c>
      <c r="B7" s="1223"/>
      <c r="C7" s="439"/>
      <c r="D7" s="540">
        <v>5170</v>
      </c>
      <c r="E7" s="943">
        <v>5174</v>
      </c>
      <c r="F7" s="442">
        <v>4911</v>
      </c>
      <c r="G7" s="442">
        <v>4801</v>
      </c>
      <c r="H7" s="442">
        <v>5029</v>
      </c>
      <c r="I7" s="1220"/>
      <c r="J7" s="1220"/>
      <c r="K7" s="820"/>
    </row>
    <row r="8" spans="1:17" ht="11.25" customHeight="1">
      <c r="A8" s="1229" t="s">
        <v>682</v>
      </c>
      <c r="B8" s="1229"/>
      <c r="C8" s="447" t="s">
        <v>843</v>
      </c>
      <c r="D8" s="583">
        <v>98.5</v>
      </c>
      <c r="E8" s="944">
        <v>98.9</v>
      </c>
      <c r="F8" s="448">
        <v>97.7</v>
      </c>
      <c r="G8" s="448">
        <v>97.5</v>
      </c>
      <c r="H8" s="448">
        <v>97.8</v>
      </c>
      <c r="I8" s="1221"/>
      <c r="J8" s="1221"/>
      <c r="K8" s="821"/>
    </row>
    <row r="9" spans="1:17" ht="11.25" customHeight="1">
      <c r="A9" s="1223" t="s">
        <v>683</v>
      </c>
      <c r="B9" s="1223"/>
      <c r="C9" s="439"/>
      <c r="D9" s="540">
        <v>1933</v>
      </c>
      <c r="E9" s="442">
        <v>2145</v>
      </c>
      <c r="F9" s="442">
        <v>1953</v>
      </c>
      <c r="G9" s="442">
        <v>1804</v>
      </c>
      <c r="H9" s="442">
        <v>1936</v>
      </c>
      <c r="I9" s="1220"/>
      <c r="J9" s="1220"/>
      <c r="K9" s="820"/>
    </row>
    <row r="10" spans="1:17" ht="11.25" customHeight="1">
      <c r="A10" s="1223" t="s">
        <v>660</v>
      </c>
      <c r="B10" s="1223"/>
      <c r="C10" s="439"/>
      <c r="D10" s="540">
        <v>19110</v>
      </c>
      <c r="E10" s="442">
        <v>18899</v>
      </c>
      <c r="F10" s="442">
        <v>17866</v>
      </c>
      <c r="G10" s="442">
        <v>18332</v>
      </c>
      <c r="H10" s="442">
        <v>18565</v>
      </c>
      <c r="I10" s="1220"/>
      <c r="J10" s="1220"/>
      <c r="K10" s="820"/>
    </row>
    <row r="11" spans="1:17" ht="11.25" customHeight="1">
      <c r="A11" s="1229" t="s">
        <v>684</v>
      </c>
      <c r="B11" s="1229"/>
      <c r="C11" s="439"/>
      <c r="D11" s="540">
        <v>3868</v>
      </c>
      <c r="E11" s="442">
        <v>3766</v>
      </c>
      <c r="F11" s="442">
        <v>3521</v>
      </c>
      <c r="G11" s="442">
        <v>3482</v>
      </c>
      <c r="H11" s="442">
        <v>3580</v>
      </c>
      <c r="I11" s="1221"/>
      <c r="J11" s="1221"/>
      <c r="K11" s="820"/>
    </row>
    <row r="12" spans="1:17" ht="11.25" customHeight="1">
      <c r="A12" s="1224" t="s">
        <v>415</v>
      </c>
      <c r="B12" s="1224"/>
      <c r="C12" s="432"/>
      <c r="D12" s="536">
        <v>5878</v>
      </c>
      <c r="E12" s="433">
        <v>6166</v>
      </c>
      <c r="F12" s="433">
        <v>5100</v>
      </c>
      <c r="G12" s="433">
        <v>4696</v>
      </c>
      <c r="H12" s="433">
        <v>4882</v>
      </c>
      <c r="I12" s="1217"/>
      <c r="J12" s="1217"/>
      <c r="K12" s="822"/>
      <c r="N12" s="747"/>
    </row>
    <row r="13" spans="1:17" ht="11.25" customHeight="1">
      <c r="A13" s="1233" t="s">
        <v>624</v>
      </c>
      <c r="B13" s="1223"/>
      <c r="C13" s="445"/>
      <c r="D13" s="564"/>
      <c r="E13" s="446"/>
      <c r="F13" s="446"/>
      <c r="G13" s="446"/>
      <c r="H13" s="446"/>
      <c r="I13" s="1218"/>
      <c r="J13" s="1219"/>
      <c r="K13" s="823"/>
      <c r="N13" s="747"/>
    </row>
    <row r="14" spans="1:17" ht="11.25" customHeight="1">
      <c r="A14" s="1223" t="s">
        <v>412</v>
      </c>
      <c r="B14" s="1223"/>
      <c r="C14" s="439"/>
      <c r="D14" s="540">
        <v>180</v>
      </c>
      <c r="E14" s="442">
        <v>130</v>
      </c>
      <c r="F14" s="442">
        <v>134</v>
      </c>
      <c r="G14" s="442">
        <v>138</v>
      </c>
      <c r="H14" s="442">
        <v>124</v>
      </c>
      <c r="I14" s="1220"/>
      <c r="J14" s="1220"/>
      <c r="K14" s="820"/>
      <c r="N14" s="747"/>
    </row>
    <row r="15" spans="1:17" ht="11.25" customHeight="1">
      <c r="A15" s="1223" t="s">
        <v>30</v>
      </c>
      <c r="B15" s="1223" t="s">
        <v>800</v>
      </c>
      <c r="C15" s="439"/>
      <c r="D15" s="540">
        <v>-9</v>
      </c>
      <c r="E15" s="442">
        <v>13</v>
      </c>
      <c r="F15" s="442">
        <v>13</v>
      </c>
      <c r="G15" s="442">
        <v>14</v>
      </c>
      <c r="H15" s="442">
        <v>17</v>
      </c>
      <c r="I15" s="1220"/>
      <c r="J15" s="1220"/>
      <c r="K15" s="820"/>
      <c r="N15" s="747"/>
    </row>
    <row r="16" spans="1:17" ht="11.25" customHeight="1">
      <c r="A16" s="1223" t="s">
        <v>1125</v>
      </c>
      <c r="B16" s="1223"/>
      <c r="C16" s="439"/>
      <c r="D16" s="540">
        <v>457</v>
      </c>
      <c r="E16" s="442">
        <v>577</v>
      </c>
      <c r="F16" s="442">
        <v>576</v>
      </c>
      <c r="G16" s="442">
        <v>583</v>
      </c>
      <c r="H16" s="442">
        <v>612</v>
      </c>
      <c r="I16" s="1220"/>
      <c r="J16" s="1220"/>
      <c r="K16" s="820"/>
    </row>
    <row r="17" spans="1:17" ht="11.25" customHeight="1">
      <c r="A17" s="1229" t="s">
        <v>830</v>
      </c>
      <c r="B17" s="1229"/>
      <c r="C17" s="447" t="s">
        <v>843</v>
      </c>
      <c r="D17" s="583">
        <v>8.8000000000000007</v>
      </c>
      <c r="E17" s="448">
        <v>11.2</v>
      </c>
      <c r="F17" s="448">
        <v>11.7</v>
      </c>
      <c r="G17" s="448">
        <v>12.1</v>
      </c>
      <c r="H17" s="448">
        <v>12.2</v>
      </c>
      <c r="I17" s="1221"/>
      <c r="J17" s="1221"/>
      <c r="K17" s="821"/>
    </row>
    <row r="18" spans="1:17" ht="11.25" customHeight="1">
      <c r="A18" s="1223" t="s">
        <v>191</v>
      </c>
      <c r="B18" s="1223"/>
      <c r="C18" s="439"/>
      <c r="D18" s="540">
        <v>362</v>
      </c>
      <c r="E18" s="442">
        <v>543</v>
      </c>
      <c r="F18" s="442">
        <v>538</v>
      </c>
      <c r="G18" s="442">
        <v>532</v>
      </c>
      <c r="H18" s="442">
        <v>587</v>
      </c>
      <c r="I18" s="1220"/>
      <c r="J18" s="1220"/>
      <c r="K18" s="820"/>
    </row>
    <row r="19" spans="1:17" ht="11.25" customHeight="1">
      <c r="A19" s="1229" t="s">
        <v>830</v>
      </c>
      <c r="B19" s="1229"/>
      <c r="C19" s="447" t="s">
        <v>843</v>
      </c>
      <c r="D19" s="583">
        <v>7</v>
      </c>
      <c r="E19" s="448">
        <v>10.5</v>
      </c>
      <c r="F19" s="448">
        <v>11</v>
      </c>
      <c r="G19" s="448">
        <v>11.1</v>
      </c>
      <c r="H19" s="448">
        <v>11.7</v>
      </c>
      <c r="I19" s="1221"/>
      <c r="J19" s="1221"/>
      <c r="K19" s="821"/>
    </row>
    <row r="20" spans="1:17" ht="11.25" customHeight="1">
      <c r="A20" s="1237" t="s">
        <v>1124</v>
      </c>
      <c r="B20" s="1237"/>
      <c r="C20" s="447"/>
      <c r="D20" s="540">
        <v>498</v>
      </c>
      <c r="E20" s="442">
        <v>621</v>
      </c>
      <c r="F20" s="442">
        <v>612</v>
      </c>
      <c r="G20" s="442">
        <v>618</v>
      </c>
      <c r="H20" s="442">
        <v>643</v>
      </c>
      <c r="I20" s="1222"/>
      <c r="J20" s="1222"/>
      <c r="K20" s="821"/>
    </row>
    <row r="21" spans="1:17" ht="11.25" customHeight="1">
      <c r="A21" s="1229" t="s">
        <v>830</v>
      </c>
      <c r="B21" s="1229"/>
      <c r="C21" s="447" t="s">
        <v>843</v>
      </c>
      <c r="D21" s="583">
        <v>9.6</v>
      </c>
      <c r="E21" s="448">
        <v>12</v>
      </c>
      <c r="F21" s="448">
        <v>12.5</v>
      </c>
      <c r="G21" s="448">
        <v>12.9</v>
      </c>
      <c r="H21" s="448">
        <v>12.8</v>
      </c>
      <c r="I21" s="1221"/>
      <c r="J21" s="1221"/>
      <c r="K21" s="821"/>
    </row>
    <row r="22" spans="1:17" ht="11.25" customHeight="1">
      <c r="A22" s="1223" t="s">
        <v>187</v>
      </c>
      <c r="B22" s="1223"/>
      <c r="C22" s="439"/>
      <c r="D22" s="540">
        <v>-47</v>
      </c>
      <c r="E22" s="442">
        <v>-40</v>
      </c>
      <c r="F22" s="442">
        <v>-47</v>
      </c>
      <c r="G22" s="442">
        <v>-53</v>
      </c>
      <c r="H22" s="442">
        <v>-34</v>
      </c>
      <c r="I22" s="1220"/>
      <c r="J22" s="1220"/>
      <c r="K22" s="820"/>
    </row>
    <row r="23" spans="1:17" ht="11.25" customHeight="1">
      <c r="A23" s="1223" t="s">
        <v>636</v>
      </c>
      <c r="B23" s="1223"/>
      <c r="C23" s="439"/>
      <c r="D23" s="540">
        <v>315</v>
      </c>
      <c r="E23" s="442">
        <v>502</v>
      </c>
      <c r="F23" s="442">
        <v>491</v>
      </c>
      <c r="G23" s="442">
        <v>479</v>
      </c>
      <c r="H23" s="442">
        <v>553</v>
      </c>
      <c r="I23" s="1220"/>
      <c r="J23" s="1220"/>
      <c r="K23" s="820"/>
    </row>
    <row r="24" spans="1:17" ht="11.25" customHeight="1">
      <c r="A24" s="1229" t="s">
        <v>830</v>
      </c>
      <c r="B24" s="1229"/>
      <c r="C24" s="447" t="s">
        <v>843</v>
      </c>
      <c r="D24" s="583">
        <v>6.1</v>
      </c>
      <c r="E24" s="448">
        <v>9.6999999999999993</v>
      </c>
      <c r="F24" s="448">
        <v>10</v>
      </c>
      <c r="G24" s="448">
        <v>10</v>
      </c>
      <c r="H24" s="448">
        <v>11</v>
      </c>
      <c r="I24" s="824"/>
      <c r="J24" s="824"/>
      <c r="K24" s="821"/>
    </row>
    <row r="25" spans="1:17" ht="11.25" customHeight="1">
      <c r="A25" s="1223" t="s">
        <v>1040</v>
      </c>
      <c r="B25" s="1223"/>
      <c r="C25" s="439"/>
      <c r="D25" s="540">
        <v>218</v>
      </c>
      <c r="E25" s="442">
        <v>386</v>
      </c>
      <c r="F25" s="442">
        <v>375</v>
      </c>
      <c r="G25" s="442">
        <v>357</v>
      </c>
      <c r="H25" s="442">
        <v>429</v>
      </c>
      <c r="I25" s="814"/>
      <c r="J25" s="814"/>
      <c r="K25" s="820"/>
    </row>
    <row r="26" spans="1:17" ht="11.25" customHeight="1">
      <c r="A26" s="1236" t="s">
        <v>1647</v>
      </c>
      <c r="B26" s="1236"/>
      <c r="C26" s="447"/>
      <c r="D26" s="540" t="s">
        <v>537</v>
      </c>
      <c r="E26" s="442" t="s">
        <v>537</v>
      </c>
      <c r="F26" s="442" t="s">
        <v>537</v>
      </c>
      <c r="G26" s="442" t="s">
        <v>537</v>
      </c>
      <c r="H26" s="442">
        <v>22</v>
      </c>
      <c r="I26" s="813"/>
      <c r="J26" s="813"/>
      <c r="K26" s="821"/>
    </row>
    <row r="27" spans="1:17" ht="11.25" customHeight="1">
      <c r="A27" s="1236" t="s">
        <v>1041</v>
      </c>
      <c r="B27" s="1236"/>
      <c r="C27" s="447"/>
      <c r="D27" s="641">
        <v>218</v>
      </c>
      <c r="E27" s="442">
        <v>386</v>
      </c>
      <c r="F27" s="442">
        <v>375</v>
      </c>
      <c r="G27" s="442">
        <v>357</v>
      </c>
      <c r="H27" s="442">
        <v>451</v>
      </c>
      <c r="I27" s="813"/>
      <c r="J27" s="813"/>
      <c r="K27" s="821"/>
      <c r="L27" s="643"/>
      <c r="M27" s="643"/>
      <c r="N27" s="643"/>
      <c r="O27" s="643"/>
      <c r="P27" s="643"/>
      <c r="Q27" s="643"/>
    </row>
    <row r="28" spans="1:17" ht="11.25" customHeight="1">
      <c r="A28" s="1234" t="s">
        <v>830</v>
      </c>
      <c r="B28" s="1234"/>
      <c r="C28" s="975" t="s">
        <v>843</v>
      </c>
      <c r="D28" s="584">
        <v>4.2</v>
      </c>
      <c r="E28" s="513">
        <v>7.5</v>
      </c>
      <c r="F28" s="513">
        <v>7.6</v>
      </c>
      <c r="G28" s="513">
        <v>7.4</v>
      </c>
      <c r="H28" s="513">
        <v>9</v>
      </c>
      <c r="I28" s="825"/>
      <c r="J28" s="825"/>
      <c r="K28" s="826"/>
    </row>
    <row r="29" spans="1:17" ht="11.25" customHeight="1">
      <c r="A29" s="1233" t="s">
        <v>694</v>
      </c>
      <c r="B29" s="1223"/>
      <c r="C29" s="439"/>
      <c r="D29" s="543"/>
      <c r="E29" s="439"/>
      <c r="F29" s="439"/>
      <c r="G29" s="439"/>
      <c r="H29" s="439"/>
      <c r="I29" s="827"/>
      <c r="J29" s="814"/>
      <c r="K29" s="820"/>
    </row>
    <row r="30" spans="1:17" ht="11.25" customHeight="1">
      <c r="A30" s="1223" t="s">
        <v>19</v>
      </c>
      <c r="B30" s="1223"/>
      <c r="C30" s="439"/>
      <c r="D30" s="540">
        <v>2518</v>
      </c>
      <c r="E30" s="442">
        <v>2369</v>
      </c>
      <c r="F30" s="442">
        <v>2285</v>
      </c>
      <c r="G30" s="442">
        <v>2116</v>
      </c>
      <c r="H30" s="442">
        <v>2215</v>
      </c>
      <c r="I30" s="814"/>
      <c r="J30" s="814"/>
      <c r="K30" s="820"/>
    </row>
    <row r="31" spans="1:17" ht="11.25" customHeight="1">
      <c r="A31" s="1223" t="s">
        <v>22</v>
      </c>
      <c r="B31" s="1223"/>
      <c r="C31" s="439"/>
      <c r="D31" s="540">
        <v>3797</v>
      </c>
      <c r="E31" s="442">
        <v>3690</v>
      </c>
      <c r="F31" s="442">
        <v>3363</v>
      </c>
      <c r="G31" s="442">
        <v>3275</v>
      </c>
      <c r="H31" s="442">
        <v>3374</v>
      </c>
      <c r="I31" s="814"/>
      <c r="J31" s="814"/>
      <c r="K31" s="820"/>
    </row>
    <row r="32" spans="1:17" ht="11.25" customHeight="1">
      <c r="A32" s="1223" t="s">
        <v>1039</v>
      </c>
      <c r="B32" s="1223"/>
      <c r="C32" s="439"/>
      <c r="D32" s="641">
        <v>82</v>
      </c>
      <c r="E32" s="442" t="s">
        <v>537</v>
      </c>
      <c r="F32" s="442" t="s">
        <v>537</v>
      </c>
      <c r="G32" s="442" t="s">
        <v>537</v>
      </c>
      <c r="H32" s="442" t="s">
        <v>537</v>
      </c>
      <c r="I32" s="814"/>
      <c r="J32" s="814"/>
      <c r="K32" s="820"/>
    </row>
    <row r="33" spans="1:11" ht="11.25" customHeight="1">
      <c r="A33" s="1223" t="s">
        <v>879</v>
      </c>
      <c r="B33" s="1223"/>
      <c r="C33" s="439"/>
      <c r="D33" s="540">
        <v>2396</v>
      </c>
      <c r="E33" s="442">
        <v>2418</v>
      </c>
      <c r="F33" s="442">
        <v>2352</v>
      </c>
      <c r="G33" s="442">
        <v>2288</v>
      </c>
      <c r="H33" s="442">
        <v>2201</v>
      </c>
      <c r="I33" s="814"/>
      <c r="J33" s="814"/>
      <c r="K33" s="820"/>
    </row>
    <row r="34" spans="1:11" ht="11.25" customHeight="1">
      <c r="A34" s="1223" t="s">
        <v>291</v>
      </c>
      <c r="B34" s="1223"/>
      <c r="C34" s="439"/>
      <c r="D34" s="540">
        <v>14</v>
      </c>
      <c r="E34" s="442">
        <v>14</v>
      </c>
      <c r="F34" s="442">
        <v>24</v>
      </c>
      <c r="G34" s="442">
        <v>34</v>
      </c>
      <c r="H34" s="442">
        <v>41</v>
      </c>
      <c r="I34" s="814"/>
      <c r="J34" s="814"/>
      <c r="K34" s="820"/>
    </row>
    <row r="35" spans="1:11" ht="11.25" customHeight="1">
      <c r="A35" s="1223" t="s">
        <v>645</v>
      </c>
      <c r="B35" s="1223"/>
      <c r="C35" s="439"/>
      <c r="D35" s="540">
        <v>1096</v>
      </c>
      <c r="E35" s="442">
        <v>823</v>
      </c>
      <c r="F35" s="442">
        <v>619</v>
      </c>
      <c r="G35" s="442">
        <v>629</v>
      </c>
      <c r="H35" s="442">
        <v>724</v>
      </c>
      <c r="I35" s="814"/>
      <c r="J35" s="814"/>
      <c r="K35" s="820"/>
    </row>
    <row r="36" spans="1:11" ht="11.25" customHeight="1">
      <c r="A36" s="1223" t="s">
        <v>831</v>
      </c>
      <c r="B36" s="1223"/>
      <c r="C36" s="439"/>
      <c r="D36" s="540">
        <v>2824</v>
      </c>
      <c r="E36" s="442">
        <v>2804</v>
      </c>
      <c r="F36" s="442">
        <v>2653</v>
      </c>
      <c r="G36" s="442">
        <v>2441</v>
      </c>
      <c r="H36" s="442">
        <v>2623</v>
      </c>
      <c r="I36" s="814"/>
      <c r="J36" s="814"/>
      <c r="K36" s="820"/>
    </row>
    <row r="37" spans="1:11" ht="11.25" customHeight="1">
      <c r="A37" s="1223" t="s">
        <v>1038</v>
      </c>
      <c r="B37" s="1223"/>
      <c r="C37" s="439"/>
      <c r="D37" s="641">
        <v>68</v>
      </c>
      <c r="E37" s="442" t="s">
        <v>537</v>
      </c>
      <c r="F37" s="442" t="s">
        <v>537</v>
      </c>
      <c r="G37" s="442" t="s">
        <v>537</v>
      </c>
      <c r="H37" s="442" t="s">
        <v>537</v>
      </c>
      <c r="I37" s="814"/>
      <c r="J37" s="814"/>
      <c r="K37" s="820"/>
    </row>
    <row r="38" spans="1:11" ht="11.25" customHeight="1">
      <c r="A38" s="1224" t="s">
        <v>411</v>
      </c>
      <c r="B38" s="1224"/>
      <c r="C38" s="432"/>
      <c r="D38" s="536">
        <v>6398</v>
      </c>
      <c r="E38" s="433">
        <v>6059</v>
      </c>
      <c r="F38" s="433">
        <v>5648</v>
      </c>
      <c r="G38" s="433">
        <v>5391</v>
      </c>
      <c r="H38" s="433">
        <v>5589</v>
      </c>
      <c r="I38" s="828"/>
      <c r="J38" s="828"/>
      <c r="K38" s="822"/>
    </row>
    <row r="39" spans="1:11" ht="11.25" customHeight="1">
      <c r="A39" s="1233" t="s">
        <v>1037</v>
      </c>
      <c r="B39" s="1233"/>
      <c r="C39" s="439"/>
      <c r="D39" s="540"/>
      <c r="E39" s="442"/>
      <c r="F39" s="442"/>
      <c r="G39" s="442"/>
      <c r="H39" s="442"/>
      <c r="I39" s="827"/>
      <c r="J39" s="827"/>
      <c r="K39" s="820"/>
    </row>
    <row r="40" spans="1:11" ht="11.25" customHeight="1">
      <c r="A40" s="1223" t="s">
        <v>555</v>
      </c>
      <c r="B40" s="1223"/>
      <c r="C40" s="439"/>
      <c r="D40" s="540">
        <v>232</v>
      </c>
      <c r="E40" s="442">
        <v>470</v>
      </c>
      <c r="F40" s="442">
        <v>430</v>
      </c>
      <c r="G40" s="442">
        <v>613</v>
      </c>
      <c r="H40" s="442">
        <v>255</v>
      </c>
      <c r="I40" s="814"/>
      <c r="J40" s="814"/>
      <c r="K40" s="820"/>
    </row>
    <row r="41" spans="1:11" ht="11.25" customHeight="1">
      <c r="A41" s="1223" t="s">
        <v>558</v>
      </c>
      <c r="B41" s="1223"/>
      <c r="C41" s="439"/>
      <c r="D41" s="540">
        <v>-95</v>
      </c>
      <c r="E41" s="442">
        <v>-240</v>
      </c>
      <c r="F41" s="442">
        <v>-235</v>
      </c>
      <c r="G41" s="442">
        <v>-126</v>
      </c>
      <c r="H41" s="442">
        <v>-288</v>
      </c>
      <c r="I41" s="814"/>
      <c r="J41" s="814"/>
      <c r="K41" s="820"/>
    </row>
    <row r="42" spans="1:11" ht="11.25" customHeight="1">
      <c r="A42" s="1224" t="s">
        <v>348</v>
      </c>
      <c r="B42" s="1224"/>
      <c r="C42" s="432"/>
      <c r="D42" s="536">
        <v>-256</v>
      </c>
      <c r="E42" s="433">
        <v>-118</v>
      </c>
      <c r="F42" s="433">
        <v>-278</v>
      </c>
      <c r="G42" s="433">
        <v>-339</v>
      </c>
      <c r="H42" s="433">
        <v>-210</v>
      </c>
      <c r="I42" s="828"/>
      <c r="J42" s="828"/>
      <c r="K42" s="822"/>
    </row>
    <row r="43" spans="1:11" ht="11.25" customHeight="1">
      <c r="A43" s="1223" t="s">
        <v>832</v>
      </c>
      <c r="B43" s="1223"/>
      <c r="C43" s="439"/>
      <c r="D43" s="540">
        <v>122</v>
      </c>
      <c r="E43" s="943">
        <v>306</v>
      </c>
      <c r="F43" s="442">
        <v>255</v>
      </c>
      <c r="G43" s="442">
        <v>146</v>
      </c>
      <c r="H43" s="442">
        <v>346</v>
      </c>
      <c r="I43" s="814"/>
      <c r="J43" s="814"/>
      <c r="K43" s="820"/>
    </row>
    <row r="44" spans="1:11" ht="11.25" customHeight="1">
      <c r="A44" s="1229" t="s">
        <v>830</v>
      </c>
      <c r="B44" s="1229"/>
      <c r="C44" s="447" t="s">
        <v>843</v>
      </c>
      <c r="D44" s="583">
        <v>2.4</v>
      </c>
      <c r="E44" s="448">
        <v>5.9</v>
      </c>
      <c r="F44" s="448">
        <v>5.2</v>
      </c>
      <c r="G44" s="448">
        <v>3</v>
      </c>
      <c r="H44" s="448">
        <v>6.9</v>
      </c>
      <c r="I44" s="824"/>
      <c r="J44" s="824"/>
      <c r="K44" s="821"/>
    </row>
    <row r="45" spans="1:11" ht="11.25" customHeight="1">
      <c r="A45" s="1223" t="s">
        <v>1218</v>
      </c>
      <c r="B45" s="1223" t="s">
        <v>490</v>
      </c>
      <c r="C45" s="439"/>
      <c r="D45" s="540">
        <v>164</v>
      </c>
      <c r="E45" s="442">
        <v>165</v>
      </c>
      <c r="F45" s="442">
        <v>141</v>
      </c>
      <c r="G45" s="442">
        <v>131</v>
      </c>
      <c r="H45" s="442">
        <v>132</v>
      </c>
      <c r="I45" s="814"/>
      <c r="J45" s="814"/>
      <c r="K45" s="820"/>
    </row>
    <row r="46" spans="1:11" ht="11.25" customHeight="1">
      <c r="A46" s="1229" t="s">
        <v>830</v>
      </c>
      <c r="B46" s="1229"/>
      <c r="C46" s="447" t="s">
        <v>843</v>
      </c>
      <c r="D46" s="583">
        <v>3.2</v>
      </c>
      <c r="E46" s="448">
        <v>3.2</v>
      </c>
      <c r="F46" s="448">
        <v>2.9</v>
      </c>
      <c r="G46" s="448">
        <v>2.7</v>
      </c>
      <c r="H46" s="448">
        <v>2.6</v>
      </c>
      <c r="I46" s="824"/>
      <c r="J46" s="824"/>
      <c r="K46" s="821"/>
    </row>
    <row r="47" spans="1:11" ht="11.25" customHeight="1">
      <c r="A47" s="1224" t="s">
        <v>185</v>
      </c>
      <c r="B47" s="1224"/>
      <c r="C47" s="432"/>
      <c r="D47" s="536" t="s">
        <v>1675</v>
      </c>
      <c r="E47" s="433">
        <v>284</v>
      </c>
      <c r="F47" s="433">
        <v>272</v>
      </c>
      <c r="G47" s="433">
        <v>256</v>
      </c>
      <c r="H47" s="433">
        <v>237</v>
      </c>
      <c r="I47" s="828"/>
      <c r="J47" s="828"/>
      <c r="K47" s="822"/>
    </row>
    <row r="48" spans="1:11" ht="11.25" customHeight="1">
      <c r="A48" s="1233" t="s">
        <v>833</v>
      </c>
      <c r="B48" s="1223"/>
      <c r="C48" s="439"/>
      <c r="D48" s="727"/>
      <c r="E48" s="945"/>
      <c r="F48" s="945"/>
      <c r="G48" s="945"/>
      <c r="H48" s="945"/>
      <c r="I48" s="827"/>
      <c r="J48" s="814"/>
      <c r="K48" s="820"/>
    </row>
    <row r="49" spans="1:11" ht="11.25" customHeight="1">
      <c r="A49" s="1223" t="s">
        <v>1257</v>
      </c>
      <c r="B49" s="1223"/>
      <c r="C49" s="447" t="s">
        <v>538</v>
      </c>
      <c r="D49" s="946">
        <v>0.37</v>
      </c>
      <c r="E49" s="947">
        <v>0.65</v>
      </c>
      <c r="F49" s="947">
        <v>0.63</v>
      </c>
      <c r="G49" s="947">
        <v>0.6</v>
      </c>
      <c r="H49" s="947">
        <v>0.75</v>
      </c>
      <c r="I49" s="814"/>
      <c r="J49" s="814"/>
      <c r="K49" s="821"/>
    </row>
    <row r="50" spans="1:11" ht="11.25" customHeight="1">
      <c r="A50" s="1223" t="s">
        <v>1256</v>
      </c>
      <c r="B50" s="1223"/>
      <c r="C50" s="447" t="s">
        <v>538</v>
      </c>
      <c r="D50" s="946" t="s">
        <v>1674</v>
      </c>
      <c r="E50" s="947">
        <v>0.48</v>
      </c>
      <c r="F50" s="947">
        <v>0.46</v>
      </c>
      <c r="G50" s="947">
        <v>0.43</v>
      </c>
      <c r="H50" s="947">
        <v>0.4</v>
      </c>
      <c r="I50" s="814"/>
      <c r="J50" s="814"/>
      <c r="K50" s="821"/>
    </row>
    <row r="51" spans="1:11" ht="11.25" customHeight="1">
      <c r="A51" s="1223" t="s">
        <v>835</v>
      </c>
      <c r="B51" s="1223"/>
      <c r="C51" s="447" t="s">
        <v>843</v>
      </c>
      <c r="D51" s="583" t="s">
        <v>1676</v>
      </c>
      <c r="E51" s="448">
        <v>73.7</v>
      </c>
      <c r="F51" s="448">
        <v>70.8</v>
      </c>
      <c r="G51" s="448">
        <v>72.8</v>
      </c>
      <c r="H51" s="448">
        <v>53.3</v>
      </c>
      <c r="I51" s="814"/>
      <c r="J51" s="814"/>
      <c r="K51" s="821"/>
    </row>
    <row r="52" spans="1:11" ht="11.25" customHeight="1">
      <c r="A52" s="1223" t="s">
        <v>836</v>
      </c>
      <c r="B52" s="1223"/>
      <c r="C52" s="439"/>
      <c r="D52" s="583">
        <v>7.7</v>
      </c>
      <c r="E52" s="448">
        <v>10.8</v>
      </c>
      <c r="F52" s="448">
        <v>11.8</v>
      </c>
      <c r="G52" s="448">
        <v>18.600000000000001</v>
      </c>
      <c r="H52" s="448">
        <v>15.9</v>
      </c>
      <c r="I52" s="814"/>
      <c r="J52" s="814"/>
      <c r="K52" s="820"/>
    </row>
    <row r="53" spans="1:11" ht="11.25" customHeight="1">
      <c r="A53" s="1223" t="s">
        <v>680</v>
      </c>
      <c r="B53" s="1223"/>
      <c r="C53" s="447" t="s">
        <v>843</v>
      </c>
      <c r="D53" s="1031">
        <v>11.48</v>
      </c>
      <c r="E53" s="448">
        <v>18.079999999999998</v>
      </c>
      <c r="F53" s="448">
        <v>18.5</v>
      </c>
      <c r="G53" s="448">
        <v>17.09</v>
      </c>
      <c r="H53" s="448">
        <v>21</v>
      </c>
      <c r="I53" s="814"/>
      <c r="J53" s="814"/>
      <c r="K53" s="821"/>
    </row>
    <row r="54" spans="1:11" ht="11.25" customHeight="1">
      <c r="A54" s="1223" t="s">
        <v>327</v>
      </c>
      <c r="B54" s="1223"/>
      <c r="C54" s="447" t="s">
        <v>843</v>
      </c>
      <c r="D54" s="1031">
        <v>9.01</v>
      </c>
      <c r="E54" s="448">
        <v>16.07</v>
      </c>
      <c r="F54" s="448">
        <v>16</v>
      </c>
      <c r="G54" s="448">
        <v>15.64</v>
      </c>
      <c r="H54" s="448">
        <v>20.2</v>
      </c>
      <c r="I54" s="814"/>
      <c r="J54" s="814"/>
      <c r="K54" s="821"/>
    </row>
    <row r="55" spans="1:11" ht="11.25" customHeight="1">
      <c r="A55" s="1223" t="s">
        <v>488</v>
      </c>
      <c r="B55" s="1223"/>
      <c r="C55" s="447" t="s">
        <v>843</v>
      </c>
      <c r="D55" s="583">
        <v>40.799999999999997</v>
      </c>
      <c r="E55" s="448">
        <v>44.4</v>
      </c>
      <c r="F55" s="448">
        <v>46.3</v>
      </c>
      <c r="G55" s="448">
        <v>47.6</v>
      </c>
      <c r="H55" s="448">
        <v>44.6</v>
      </c>
      <c r="I55" s="814"/>
      <c r="J55" s="814"/>
      <c r="K55" s="821"/>
    </row>
    <row r="56" spans="1:11" ht="11.25" customHeight="1">
      <c r="A56" s="1223" t="s">
        <v>1603</v>
      </c>
      <c r="B56" s="1223"/>
      <c r="C56" s="439"/>
      <c r="D56" s="946">
        <v>0.3</v>
      </c>
      <c r="E56" s="947">
        <v>0.14000000000000001</v>
      </c>
      <c r="F56" s="947">
        <v>0.1</v>
      </c>
      <c r="G56" s="947">
        <v>7.0000000000000007E-2</v>
      </c>
      <c r="H56" s="947">
        <v>0.17</v>
      </c>
      <c r="I56" s="814"/>
      <c r="J56" s="814"/>
      <c r="K56" s="820"/>
    </row>
    <row r="57" spans="1:11" ht="11.25" customHeight="1">
      <c r="A57" s="1223" t="s">
        <v>1258</v>
      </c>
      <c r="B57" s="1223"/>
      <c r="C57" s="447" t="s">
        <v>538</v>
      </c>
      <c r="D57" s="946">
        <v>4.05</v>
      </c>
      <c r="E57" s="947">
        <v>4.09</v>
      </c>
      <c r="F57" s="947">
        <v>3.97</v>
      </c>
      <c r="G57" s="947">
        <v>3.87</v>
      </c>
      <c r="H57" s="947">
        <v>3.72</v>
      </c>
      <c r="I57" s="814"/>
      <c r="J57" s="814"/>
      <c r="K57" s="821"/>
    </row>
    <row r="58" spans="1:11" ht="11.25" customHeight="1">
      <c r="A58" s="1223" t="s">
        <v>930</v>
      </c>
      <c r="B58" s="1223"/>
      <c r="C58" s="447" t="s">
        <v>538</v>
      </c>
      <c r="D58" s="540">
        <v>732</v>
      </c>
      <c r="E58" s="442">
        <v>581</v>
      </c>
      <c r="F58" s="442">
        <v>563</v>
      </c>
      <c r="G58" s="442">
        <v>490</v>
      </c>
      <c r="H58" s="442">
        <v>543</v>
      </c>
      <c r="I58" s="814"/>
      <c r="J58" s="814"/>
      <c r="K58" s="821"/>
    </row>
    <row r="59" spans="1:11" ht="11.25" customHeight="1">
      <c r="A59" s="218"/>
      <c r="B59" s="222"/>
      <c r="C59" s="223"/>
      <c r="D59" s="223"/>
      <c r="E59" s="223"/>
      <c r="F59" s="223"/>
      <c r="G59" s="223"/>
      <c r="H59" s="223"/>
    </row>
    <row r="60" spans="1:11" ht="11.25" customHeight="1">
      <c r="A60" s="1215" t="s">
        <v>1254</v>
      </c>
      <c r="B60" s="1216"/>
      <c r="C60" s="1216"/>
      <c r="D60" s="1216"/>
      <c r="E60" s="1216"/>
      <c r="F60" s="1216"/>
      <c r="G60" s="1216"/>
      <c r="H60" s="1216"/>
    </row>
    <row r="61" spans="1:11" ht="11.25" customHeight="1">
      <c r="A61" s="1215" t="s">
        <v>1166</v>
      </c>
      <c r="B61" s="1216"/>
      <c r="C61" s="1216"/>
      <c r="D61" s="1216"/>
      <c r="E61" s="1216"/>
      <c r="F61" s="1216"/>
      <c r="G61" s="1216"/>
      <c r="H61" s="1216"/>
    </row>
    <row r="62" spans="1:11" ht="22.5" customHeight="1">
      <c r="A62" s="1235" t="s">
        <v>1255</v>
      </c>
      <c r="B62" s="1235"/>
      <c r="C62" s="1235"/>
      <c r="D62" s="1235"/>
      <c r="E62" s="1235"/>
      <c r="F62" s="1235"/>
      <c r="G62" s="1235"/>
      <c r="H62" s="1235"/>
    </row>
    <row r="63" spans="1:11" ht="11.25" customHeight="1">
      <c r="A63" s="1215" t="s">
        <v>1604</v>
      </c>
      <c r="B63" s="1216"/>
      <c r="C63" s="1216"/>
      <c r="D63" s="1216"/>
      <c r="E63" s="1216"/>
      <c r="F63" s="1216"/>
      <c r="G63" s="1216"/>
      <c r="H63" s="1216"/>
    </row>
    <row r="64" spans="1:11" ht="11.25" customHeight="1"/>
  </sheetData>
  <mergeCells count="77">
    <mergeCell ref="A37:B37"/>
    <mergeCell ref="A36:B36"/>
    <mergeCell ref="A27:B27"/>
    <mergeCell ref="A26:B26"/>
    <mergeCell ref="A20:B20"/>
    <mergeCell ref="A21:B21"/>
    <mergeCell ref="A24:B24"/>
    <mergeCell ref="A31:B31"/>
    <mergeCell ref="A33:B33"/>
    <mergeCell ref="A32:B32"/>
    <mergeCell ref="A62:H62"/>
    <mergeCell ref="A57:B57"/>
    <mergeCell ref="A60:H60"/>
    <mergeCell ref="A51:B51"/>
    <mergeCell ref="A38:B38"/>
    <mergeCell ref="A47:B47"/>
    <mergeCell ref="A48:B48"/>
    <mergeCell ref="A43:B43"/>
    <mergeCell ref="A45:B45"/>
    <mergeCell ref="A42:B42"/>
    <mergeCell ref="A39:B39"/>
    <mergeCell ref="A40:B40"/>
    <mergeCell ref="A41:B41"/>
    <mergeCell ref="A49:B49"/>
    <mergeCell ref="A44:B44"/>
    <mergeCell ref="A46:B46"/>
    <mergeCell ref="A53:B53"/>
    <mergeCell ref="A54:B54"/>
    <mergeCell ref="A61:H61"/>
    <mergeCell ref="A55:B55"/>
    <mergeCell ref="A58:B58"/>
    <mergeCell ref="A56:B56"/>
    <mergeCell ref="A13:B13"/>
    <mergeCell ref="A35:B35"/>
    <mergeCell ref="A18:B18"/>
    <mergeCell ref="A22:B22"/>
    <mergeCell ref="A34:B34"/>
    <mergeCell ref="A14:B14"/>
    <mergeCell ref="A15:B15"/>
    <mergeCell ref="A30:B30"/>
    <mergeCell ref="A16:B16"/>
    <mergeCell ref="A23:B23"/>
    <mergeCell ref="A25:B25"/>
    <mergeCell ref="A29:B29"/>
    <mergeCell ref="A28:B28"/>
    <mergeCell ref="A17:B17"/>
    <mergeCell ref="A19:B19"/>
    <mergeCell ref="I10:J10"/>
    <mergeCell ref="I11:J11"/>
    <mergeCell ref="A1:H1"/>
    <mergeCell ref="A6:B6"/>
    <mergeCell ref="A7:B7"/>
    <mergeCell ref="A9:B9"/>
    <mergeCell ref="A10:B10"/>
    <mergeCell ref="A8:B8"/>
    <mergeCell ref="I6:J6"/>
    <mergeCell ref="I7:J7"/>
    <mergeCell ref="I8:J8"/>
    <mergeCell ref="I9:J9"/>
    <mergeCell ref="A3:H3"/>
    <mergeCell ref="A11:B11"/>
    <mergeCell ref="A63:H63"/>
    <mergeCell ref="I12:J12"/>
    <mergeCell ref="I13:J13"/>
    <mergeCell ref="I14:J14"/>
    <mergeCell ref="I15:J15"/>
    <mergeCell ref="I16:J16"/>
    <mergeCell ref="I22:J22"/>
    <mergeCell ref="I23:J23"/>
    <mergeCell ref="I17:J17"/>
    <mergeCell ref="I18:J18"/>
    <mergeCell ref="I19:J19"/>
    <mergeCell ref="I20:J20"/>
    <mergeCell ref="I21:J21"/>
    <mergeCell ref="A52:B52"/>
    <mergeCell ref="A50:B50"/>
    <mergeCell ref="A12:B12"/>
  </mergeCells>
  <phoneticPr fontId="49" type="noConversion"/>
  <pageMargins left="0.75" right="0.75" top="1" bottom="1" header="0.5" footer="0.5"/>
  <pageSetup paperSize="9" scale="84" orientation="portrait" r:id="rId1"/>
  <headerFooter alignWithMargins="0"/>
  <customProperties>
    <customPr name="SheetOptions" r:id="rId2"/>
    <customPr name="WORKBKFUNCTIONCACHE" r:id="rId3"/>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Q110"/>
  <sheetViews>
    <sheetView zoomScaleNormal="100" zoomScaleSheetLayoutView="80" workbookViewId="0">
      <selection sqref="A1:B1"/>
    </sheetView>
  </sheetViews>
  <sheetFormatPr defaultColWidth="8.6640625" defaultRowHeight="11.25"/>
  <cols>
    <col min="1" max="1" width="110" style="694" customWidth="1"/>
    <col min="2" max="2" width="20" style="694" customWidth="1"/>
    <col min="3" max="6" width="3.6640625" style="1025" customWidth="1"/>
    <col min="7" max="11" width="3.6640625" style="1063" customWidth="1"/>
    <col min="12" max="17" width="3.6640625" style="1025" customWidth="1"/>
    <col min="18" max="16384" width="8.6640625" style="1151"/>
  </cols>
  <sheetData>
    <row r="1" spans="1:2" ht="15.75">
      <c r="A1" s="1296" t="s">
        <v>903</v>
      </c>
      <c r="B1" s="1296"/>
    </row>
    <row r="2" spans="1:2" ht="11.25" customHeight="1">
      <c r="A2" s="1300"/>
      <c r="B2" s="1300"/>
    </row>
    <row r="3" spans="1:2" ht="11.25" customHeight="1">
      <c r="A3" s="1298" t="s">
        <v>1407</v>
      </c>
      <c r="B3" s="1298"/>
    </row>
    <row r="4" spans="1:2" ht="11.25" customHeight="1">
      <c r="A4" s="1301"/>
      <c r="B4" s="1301"/>
    </row>
    <row r="5" spans="1:2" ht="11.25" customHeight="1">
      <c r="A5" s="1297" t="s">
        <v>1406</v>
      </c>
      <c r="B5" s="1297"/>
    </row>
    <row r="6" spans="1:2" ht="11.25" customHeight="1">
      <c r="A6" s="1301"/>
      <c r="B6" s="1301"/>
    </row>
    <row r="7" spans="1:2" ht="56.25" customHeight="1">
      <c r="A7" s="1246" t="s">
        <v>1733</v>
      </c>
      <c r="B7" s="1246"/>
    </row>
    <row r="8" spans="1:2" ht="11.25" customHeight="1">
      <c r="A8" s="1069"/>
      <c r="B8" s="1069"/>
    </row>
    <row r="9" spans="1:2" ht="11.25" customHeight="1">
      <c r="A9" s="1069"/>
      <c r="B9" s="1069"/>
    </row>
    <row r="10" spans="1:2" ht="11.25" customHeight="1">
      <c r="A10" s="1298" t="s">
        <v>1266</v>
      </c>
      <c r="B10" s="1298"/>
    </row>
    <row r="11" spans="1:2" ht="11.25" customHeight="1">
      <c r="A11" s="205"/>
      <c r="B11" s="205"/>
    </row>
    <row r="12" spans="1:2" ht="11.25" customHeight="1">
      <c r="A12" s="1297" t="s">
        <v>1330</v>
      </c>
      <c r="B12" s="1297"/>
    </row>
    <row r="13" spans="1:2">
      <c r="A13" s="631"/>
      <c r="B13" s="695"/>
    </row>
    <row r="14" spans="1:2" ht="11.25" customHeight="1">
      <c r="A14" s="1299" t="s">
        <v>1329</v>
      </c>
      <c r="B14" s="1299"/>
    </row>
    <row r="15" spans="1:2">
      <c r="A15" s="632"/>
      <c r="B15" s="273"/>
    </row>
    <row r="16" spans="1:2" ht="22.5" customHeight="1">
      <c r="A16" s="1246" t="s">
        <v>1328</v>
      </c>
      <c r="B16" s="1246"/>
    </row>
    <row r="17" spans="1:2">
      <c r="A17" s="632"/>
      <c r="B17" s="273"/>
    </row>
    <row r="18" spans="1:2" ht="22.5" customHeight="1">
      <c r="A18" s="1246" t="s">
        <v>1658</v>
      </c>
      <c r="B18" s="1246"/>
    </row>
    <row r="19" spans="1:2">
      <c r="A19" s="692"/>
      <c r="B19" s="326"/>
    </row>
    <row r="20" spans="1:2">
      <c r="A20" s="630" t="s">
        <v>1655</v>
      </c>
      <c r="B20" s="638" t="s">
        <v>700</v>
      </c>
    </row>
    <row r="21" spans="1:2">
      <c r="A21" s="635" t="s">
        <v>1103</v>
      </c>
      <c r="B21" s="782">
        <v>183</v>
      </c>
    </row>
    <row r="22" spans="1:2">
      <c r="A22" s="629" t="s">
        <v>1104</v>
      </c>
      <c r="B22" s="455">
        <v>183</v>
      </c>
    </row>
    <row r="23" spans="1:2">
      <c r="A23" s="692"/>
      <c r="B23" s="301"/>
    </row>
    <row r="24" spans="1:2">
      <c r="A24" s="692"/>
      <c r="B24" s="301"/>
    </row>
    <row r="25" spans="1:2">
      <c r="A25" s="630" t="s">
        <v>1656</v>
      </c>
      <c r="B25" s="638" t="s">
        <v>700</v>
      </c>
    </row>
    <row r="26" spans="1:2">
      <c r="A26" s="781" t="s">
        <v>1105</v>
      </c>
      <c r="B26" s="485">
        <v>183</v>
      </c>
    </row>
    <row r="27" spans="1:2">
      <c r="A27" s="780" t="s">
        <v>1349</v>
      </c>
      <c r="B27" s="782">
        <v>-12</v>
      </c>
    </row>
    <row r="28" spans="1:2">
      <c r="A28" s="629" t="s">
        <v>1107</v>
      </c>
      <c r="B28" s="455">
        <v>171</v>
      </c>
    </row>
    <row r="29" spans="1:2">
      <c r="A29" s="692"/>
      <c r="B29" s="301"/>
    </row>
    <row r="30" spans="1:2" s="1206" customFormat="1">
      <c r="A30" s="1207"/>
      <c r="B30" s="1208"/>
    </row>
    <row r="31" spans="1:2">
      <c r="A31" s="630" t="s">
        <v>1657</v>
      </c>
      <c r="B31" s="638" t="s">
        <v>700</v>
      </c>
    </row>
    <row r="32" spans="1:2">
      <c r="A32" s="634" t="s">
        <v>522</v>
      </c>
      <c r="B32" s="783">
        <v>66</v>
      </c>
    </row>
    <row r="33" spans="1:2">
      <c r="A33" s="781" t="s">
        <v>179</v>
      </c>
      <c r="B33" s="783">
        <v>2</v>
      </c>
    </row>
    <row r="34" spans="1:2">
      <c r="A34" s="781" t="s">
        <v>523</v>
      </c>
      <c r="B34" s="783">
        <v>8</v>
      </c>
    </row>
    <row r="35" spans="1:2">
      <c r="A35" s="781" t="s">
        <v>1108</v>
      </c>
      <c r="B35" s="783">
        <v>50</v>
      </c>
    </row>
    <row r="36" spans="1:2">
      <c r="A36" s="634" t="s">
        <v>513</v>
      </c>
      <c r="B36" s="783">
        <v>2</v>
      </c>
    </row>
    <row r="37" spans="1:2">
      <c r="A37" s="635" t="s">
        <v>528</v>
      </c>
      <c r="B37" s="784">
        <v>12</v>
      </c>
    </row>
    <row r="38" spans="1:2">
      <c r="A38" s="633" t="s">
        <v>410</v>
      </c>
      <c r="B38" s="783">
        <v>140</v>
      </c>
    </row>
    <row r="39" spans="1:2">
      <c r="A39" s="691"/>
      <c r="B39" s="778"/>
    </row>
    <row r="40" spans="1:2">
      <c r="A40" s="634" t="s">
        <v>342</v>
      </c>
      <c r="B40" s="785">
        <v>3</v>
      </c>
    </row>
    <row r="41" spans="1:2">
      <c r="A41" s="781" t="s">
        <v>645</v>
      </c>
      <c r="B41" s="785">
        <v>29</v>
      </c>
    </row>
    <row r="42" spans="1:2">
      <c r="A42" s="690" t="s">
        <v>1109</v>
      </c>
      <c r="B42" s="783">
        <v>39</v>
      </c>
    </row>
    <row r="43" spans="1:2">
      <c r="A43" s="660" t="s">
        <v>735</v>
      </c>
      <c r="B43" s="784">
        <v>13</v>
      </c>
    </row>
    <row r="44" spans="1:2">
      <c r="A44" s="787" t="s">
        <v>502</v>
      </c>
      <c r="B44" s="783">
        <v>83</v>
      </c>
    </row>
    <row r="45" spans="1:2">
      <c r="A45" s="470"/>
      <c r="B45" s="786"/>
    </row>
    <row r="46" spans="1:2">
      <c r="A46" s="788" t="s">
        <v>1110</v>
      </c>
      <c r="B46" s="790">
        <v>57</v>
      </c>
    </row>
    <row r="47" spans="1:2">
      <c r="A47" s="696"/>
      <c r="B47" s="786"/>
    </row>
    <row r="48" spans="1:2">
      <c r="A48" s="788" t="s">
        <v>840</v>
      </c>
      <c r="B48" s="790">
        <v>113</v>
      </c>
    </row>
    <row r="49" spans="1:2">
      <c r="A49" s="692"/>
      <c r="B49" s="229"/>
    </row>
    <row r="50" spans="1:2" ht="33.75" customHeight="1">
      <c r="A50" s="1246" t="s">
        <v>1680</v>
      </c>
      <c r="B50" s="1246" t="e">
        <v>#REF!</v>
      </c>
    </row>
    <row r="51" spans="1:2">
      <c r="A51" s="1303"/>
      <c r="B51" s="1303"/>
    </row>
    <row r="52" spans="1:2" ht="33.75" customHeight="1">
      <c r="A52" s="1246" t="s">
        <v>1659</v>
      </c>
      <c r="B52" s="1246" t="e">
        <v>#REF!</v>
      </c>
    </row>
    <row r="53" spans="1:2">
      <c r="A53" s="1303"/>
      <c r="B53" s="1303"/>
    </row>
    <row r="54" spans="1:2" ht="22.5" customHeight="1">
      <c r="A54" s="1246" t="s">
        <v>1350</v>
      </c>
      <c r="B54" s="1246" t="e">
        <v>#REF!</v>
      </c>
    </row>
    <row r="55" spans="1:2" ht="11.25" customHeight="1">
      <c r="A55" s="745"/>
      <c r="B55" s="745"/>
    </row>
    <row r="56" spans="1:2" ht="11.25" customHeight="1">
      <c r="A56" s="1291" t="s">
        <v>1154</v>
      </c>
      <c r="B56" s="1291" t="e">
        <v>#REF!</v>
      </c>
    </row>
    <row r="57" spans="1:2" ht="11.25" customHeight="1">
      <c r="A57" s="745"/>
      <c r="B57" s="745"/>
    </row>
    <row r="58" spans="1:2" ht="33.75" customHeight="1">
      <c r="A58" s="1302" t="s">
        <v>1351</v>
      </c>
      <c r="B58" s="1302" t="e">
        <v>#REF!</v>
      </c>
    </row>
    <row r="59" spans="1:2" ht="11.25" customHeight="1">
      <c r="A59" s="792"/>
      <c r="B59" s="792"/>
    </row>
    <row r="60" spans="1:2" ht="11.25" customHeight="1">
      <c r="A60" s="1297" t="s">
        <v>1228</v>
      </c>
      <c r="B60" s="1297"/>
    </row>
    <row r="61" spans="1:2">
      <c r="A61" s="661"/>
      <c r="B61" s="636"/>
    </row>
    <row r="62" spans="1:2">
      <c r="A62" s="1246" t="s">
        <v>1331</v>
      </c>
      <c r="B62" s="1246" t="e">
        <v>#REF!</v>
      </c>
    </row>
    <row r="63" spans="1:2">
      <c r="A63" s="746"/>
      <c r="B63" s="636"/>
    </row>
    <row r="64" spans="1:2" ht="22.5" customHeight="1">
      <c r="A64" s="1246" t="s">
        <v>1332</v>
      </c>
      <c r="B64" s="1246" t="e">
        <v>#REF!</v>
      </c>
    </row>
    <row r="65" spans="1:2">
      <c r="A65" s="662"/>
      <c r="B65" s="637"/>
    </row>
    <row r="66" spans="1:2" ht="22.5" customHeight="1">
      <c r="A66" s="1246" t="s">
        <v>1333</v>
      </c>
      <c r="B66" s="1246" t="e">
        <v>#REF!</v>
      </c>
    </row>
    <row r="67" spans="1:2" ht="11.25" customHeight="1">
      <c r="A67" s="779"/>
      <c r="B67" s="779"/>
    </row>
    <row r="68" spans="1:2" ht="22.5" customHeight="1">
      <c r="A68" s="1246" t="s">
        <v>1334</v>
      </c>
      <c r="B68" s="1246" t="e">
        <v>#REF!</v>
      </c>
    </row>
    <row r="69" spans="1:2">
      <c r="A69" s="662"/>
      <c r="B69" s="637"/>
    </row>
    <row r="70" spans="1:2" ht="22.5" customHeight="1">
      <c r="A70" s="1246" t="s">
        <v>1660</v>
      </c>
      <c r="B70" s="1246"/>
    </row>
    <row r="71" spans="1:2">
      <c r="A71" s="663"/>
      <c r="B71" s="326"/>
    </row>
    <row r="72" spans="1:2">
      <c r="A72" s="657" t="s">
        <v>1655</v>
      </c>
      <c r="B72" s="638" t="s">
        <v>700</v>
      </c>
    </row>
    <row r="73" spans="1:2">
      <c r="A73" s="660" t="s">
        <v>1103</v>
      </c>
      <c r="B73" s="500">
        <v>27.321000000000002</v>
      </c>
    </row>
    <row r="74" spans="1:2">
      <c r="A74" s="656" t="s">
        <v>1104</v>
      </c>
      <c r="B74" s="455">
        <v>27.321000000000002</v>
      </c>
    </row>
    <row r="75" spans="1:2">
      <c r="A75" s="663"/>
      <c r="B75" s="229"/>
    </row>
    <row r="76" spans="1:2">
      <c r="A76" s="663"/>
      <c r="B76" s="229"/>
    </row>
    <row r="77" spans="1:2">
      <c r="A77" s="657" t="s">
        <v>1661</v>
      </c>
      <c r="B77" s="638" t="s">
        <v>700</v>
      </c>
    </row>
    <row r="78" spans="1:2">
      <c r="A78" s="659" t="s">
        <v>1105</v>
      </c>
      <c r="B78" s="485">
        <v>23.321000000000002</v>
      </c>
    </row>
    <row r="79" spans="1:2">
      <c r="A79" s="720" t="s">
        <v>1153</v>
      </c>
      <c r="B79" s="485">
        <v>4</v>
      </c>
    </row>
    <row r="80" spans="1:2">
      <c r="A80" s="660" t="s">
        <v>1106</v>
      </c>
      <c r="B80" s="500">
        <v>-1.385</v>
      </c>
    </row>
    <row r="81" spans="1:2">
      <c r="A81" s="656" t="s">
        <v>1267</v>
      </c>
      <c r="B81" s="455">
        <v>25.936</v>
      </c>
    </row>
    <row r="82" spans="1:2">
      <c r="A82" s="663"/>
      <c r="B82" s="229"/>
    </row>
    <row r="83" spans="1:2">
      <c r="A83" s="663"/>
      <c r="B83" s="229"/>
    </row>
    <row r="84" spans="1:2">
      <c r="A84" s="657" t="s">
        <v>1662</v>
      </c>
      <c r="B84" s="638" t="s">
        <v>700</v>
      </c>
    </row>
    <row r="85" spans="1:2">
      <c r="A85" s="659" t="s">
        <v>522</v>
      </c>
      <c r="B85" s="485">
        <v>9.7910000000000004</v>
      </c>
    </row>
    <row r="86" spans="1:2">
      <c r="A86" s="720" t="s">
        <v>179</v>
      </c>
      <c r="B86" s="485">
        <v>2.0910000000000002</v>
      </c>
    </row>
    <row r="87" spans="1:2">
      <c r="A87" s="781" t="s">
        <v>523</v>
      </c>
      <c r="B87" s="485">
        <v>0.62</v>
      </c>
    </row>
    <row r="88" spans="1:2">
      <c r="A88" s="659" t="s">
        <v>1108</v>
      </c>
      <c r="B88" s="485">
        <v>5.5910000000000002</v>
      </c>
    </row>
    <row r="89" spans="1:2">
      <c r="A89" s="660" t="s">
        <v>528</v>
      </c>
      <c r="B89" s="500">
        <v>1.3879999999999999</v>
      </c>
    </row>
    <row r="90" spans="1:2">
      <c r="A90" s="658" t="s">
        <v>410</v>
      </c>
      <c r="B90" s="485">
        <v>19.478861999999999</v>
      </c>
    </row>
    <row r="91" spans="1:2">
      <c r="A91" s="659"/>
      <c r="B91" s="485"/>
    </row>
    <row r="92" spans="1:2">
      <c r="A92" s="659" t="s">
        <v>1109</v>
      </c>
      <c r="B92" s="485">
        <v>3.6840000000000002</v>
      </c>
    </row>
    <row r="93" spans="1:2">
      <c r="A93" s="660" t="s">
        <v>735</v>
      </c>
      <c r="B93" s="500">
        <v>2.724272</v>
      </c>
    </row>
    <row r="94" spans="1:2">
      <c r="A94" s="658" t="s">
        <v>502</v>
      </c>
      <c r="B94" s="485">
        <v>6.4080000000000004</v>
      </c>
    </row>
    <row r="95" spans="1:2">
      <c r="A95" s="730"/>
      <c r="B95" s="500"/>
    </row>
    <row r="96" spans="1:2">
      <c r="A96" s="729" t="s">
        <v>1110</v>
      </c>
      <c r="B96" s="455">
        <v>13.070861999999998</v>
      </c>
    </row>
    <row r="97" spans="1:2">
      <c r="A97" s="730"/>
      <c r="B97" s="500"/>
    </row>
    <row r="98" spans="1:2">
      <c r="A98" s="729" t="s">
        <v>840</v>
      </c>
      <c r="B98" s="455">
        <v>12.865138000000002</v>
      </c>
    </row>
    <row r="99" spans="1:2">
      <c r="A99" s="663"/>
      <c r="B99" s="229"/>
    </row>
    <row r="100" spans="1:2" ht="33.75" customHeight="1">
      <c r="A100" s="1246" t="s">
        <v>1681</v>
      </c>
      <c r="B100" s="1246" t="e">
        <v>#REF!</v>
      </c>
    </row>
    <row r="101" spans="1:2">
      <c r="A101" s="1303"/>
      <c r="B101" s="1303"/>
    </row>
    <row r="102" spans="1:2" ht="11.25" customHeight="1">
      <c r="A102" s="1246" t="s">
        <v>1663</v>
      </c>
      <c r="B102" s="1246" t="e">
        <v>#REF!</v>
      </c>
    </row>
    <row r="103" spans="1:2">
      <c r="A103" s="1303"/>
      <c r="B103" s="1303"/>
    </row>
    <row r="104" spans="1:2" ht="22.5" customHeight="1">
      <c r="A104" s="1246" t="s">
        <v>1352</v>
      </c>
      <c r="B104" s="1246" t="e">
        <v>#REF!</v>
      </c>
    </row>
    <row r="105" spans="1:2">
      <c r="A105" s="1303"/>
      <c r="B105" s="1303"/>
    </row>
    <row r="106" spans="1:2">
      <c r="A106" s="1291" t="s">
        <v>1154</v>
      </c>
      <c r="B106" s="1291" t="e">
        <v>#REF!</v>
      </c>
    </row>
    <row r="107" spans="1:2">
      <c r="A107" s="728"/>
      <c r="B107" s="728"/>
    </row>
    <row r="108" spans="1:2" ht="34.5" customHeight="1">
      <c r="A108" s="1302" t="s">
        <v>1353</v>
      </c>
      <c r="B108" s="1302" t="e">
        <v>#REF!</v>
      </c>
    </row>
    <row r="109" spans="1:2" ht="12.75" customHeight="1">
      <c r="A109" s="749"/>
      <c r="B109" s="749"/>
    </row>
    <row r="110" spans="1:2">
      <c r="A110" s="728"/>
      <c r="B110" s="728"/>
    </row>
  </sheetData>
  <mergeCells count="33">
    <mergeCell ref="A101:B101"/>
    <mergeCell ref="A102:B102"/>
    <mergeCell ref="A106:B106"/>
    <mergeCell ref="A6:B6"/>
    <mergeCell ref="A7:B7"/>
    <mergeCell ref="A108:B108"/>
    <mergeCell ref="A54:B54"/>
    <mergeCell ref="A51:B51"/>
    <mergeCell ref="A53:B53"/>
    <mergeCell ref="A60:B60"/>
    <mergeCell ref="A64:B64"/>
    <mergeCell ref="A105:B105"/>
    <mergeCell ref="A103:B103"/>
    <mergeCell ref="A104:B104"/>
    <mergeCell ref="A66:B66"/>
    <mergeCell ref="A70:B70"/>
    <mergeCell ref="A68:B68"/>
    <mergeCell ref="A62:B62"/>
    <mergeCell ref="A56:B56"/>
    <mergeCell ref="A58:B58"/>
    <mergeCell ref="A100:B100"/>
    <mergeCell ref="A1:B1"/>
    <mergeCell ref="A12:B12"/>
    <mergeCell ref="A10:B10"/>
    <mergeCell ref="A50:B50"/>
    <mergeCell ref="A52:B52"/>
    <mergeCell ref="A14:B14"/>
    <mergeCell ref="A16:B16"/>
    <mergeCell ref="A18:B18"/>
    <mergeCell ref="A2:B2"/>
    <mergeCell ref="A3:B3"/>
    <mergeCell ref="A4:B4"/>
    <mergeCell ref="A5:B5"/>
  </mergeCells>
  <phoneticPr fontId="0" type="noConversion"/>
  <pageMargins left="0.75" right="0.75" top="1" bottom="1" header="0.5" footer="0.5"/>
  <pageSetup scale="77" orientation="portrait" r:id="rId1"/>
  <headerFooter alignWithMargins="0"/>
  <rowBreaks count="1" manualBreakCount="1">
    <brk id="59" max="6" man="1"/>
  </rowBreak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dimension ref="A1:Q21"/>
  <sheetViews>
    <sheetView zoomScaleNormal="100" workbookViewId="0">
      <selection sqref="A1:C1"/>
    </sheetView>
  </sheetViews>
  <sheetFormatPr defaultColWidth="8.6640625" defaultRowHeight="11.25"/>
  <cols>
    <col min="1" max="1" width="90" style="689" customWidth="1"/>
    <col min="2" max="3" width="20" style="689" customWidth="1"/>
    <col min="4" max="8" width="3.6640625" style="1025" customWidth="1"/>
    <col min="9" max="12" width="3.6640625" style="1063" customWidth="1"/>
    <col min="13" max="17" width="3.6640625" style="1025" customWidth="1"/>
    <col min="18" max="16384" width="8.6640625" style="1151"/>
  </cols>
  <sheetData>
    <row r="1" spans="1:3" ht="15.75">
      <c r="A1" s="1252" t="s">
        <v>1122</v>
      </c>
      <c r="B1" s="1252"/>
      <c r="C1" s="1252"/>
    </row>
    <row r="2" spans="1:3" ht="11.25" customHeight="1">
      <c r="A2" s="791"/>
      <c r="B2" s="642"/>
      <c r="C2" s="642"/>
    </row>
    <row r="3" spans="1:3" ht="11.25" customHeight="1">
      <c r="A3" s="1061" t="s">
        <v>1409</v>
      </c>
      <c r="B3" s="502"/>
      <c r="C3" s="502"/>
    </row>
    <row r="4" spans="1:3" ht="11.25" customHeight="1">
      <c r="A4" s="838"/>
      <c r="B4" s="838"/>
      <c r="C4" s="838"/>
    </row>
    <row r="5" spans="1:3" ht="11.25" customHeight="1">
      <c r="A5" s="1304" t="s">
        <v>1408</v>
      </c>
      <c r="B5" s="1304"/>
      <c r="C5" s="1304"/>
    </row>
    <row r="6" spans="1:3" ht="11.25" customHeight="1">
      <c r="A6" s="838"/>
      <c r="B6" s="838"/>
      <c r="C6" s="838"/>
    </row>
    <row r="7" spans="1:3" ht="11.25" customHeight="1">
      <c r="A7" s="838"/>
      <c r="B7" s="838"/>
      <c r="C7" s="838"/>
    </row>
    <row r="8" spans="1:3" ht="11.25" customHeight="1">
      <c r="A8" s="1061" t="s">
        <v>1268</v>
      </c>
      <c r="B8" s="502"/>
      <c r="C8" s="502"/>
    </row>
    <row r="9" spans="1:3" ht="11.25" customHeight="1">
      <c r="A9" s="791"/>
      <c r="B9" s="655"/>
      <c r="C9" s="655"/>
    </row>
    <row r="10" spans="1:3" ht="11.25" customHeight="1">
      <c r="A10" s="1064" t="s">
        <v>1347</v>
      </c>
      <c r="B10" s="791"/>
      <c r="C10" s="791"/>
    </row>
    <row r="11" spans="1:3" ht="11.25" customHeight="1">
      <c r="A11" s="791"/>
      <c r="B11" s="791"/>
      <c r="C11" s="791"/>
    </row>
    <row r="12" spans="1:3" ht="57" customHeight="1">
      <c r="A12" s="1305" t="s">
        <v>1713</v>
      </c>
      <c r="B12" s="1305"/>
      <c r="C12" s="1305"/>
    </row>
    <row r="13" spans="1:3" ht="11.25" customHeight="1">
      <c r="A13" s="791"/>
      <c r="B13" s="791"/>
      <c r="C13" s="791"/>
    </row>
    <row r="14" spans="1:3" ht="11.25" customHeight="1">
      <c r="A14" s="1064" t="s">
        <v>1346</v>
      </c>
      <c r="B14" s="791"/>
      <c r="C14" s="791"/>
    </row>
    <row r="15" spans="1:3" ht="11.25" customHeight="1">
      <c r="A15" s="791"/>
      <c r="B15" s="791"/>
      <c r="C15" s="791"/>
    </row>
    <row r="16" spans="1:3" ht="22.5" customHeight="1">
      <c r="A16" s="1305" t="s">
        <v>1348</v>
      </c>
      <c r="B16" s="1305"/>
      <c r="C16" s="1305"/>
    </row>
    <row r="17" spans="1:3" ht="11.25" customHeight="1">
      <c r="A17" s="791"/>
      <c r="B17" s="791"/>
      <c r="C17" s="791"/>
    </row>
    <row r="18" spans="1:3" ht="11.25" customHeight="1">
      <c r="A18" s="791"/>
      <c r="B18" s="642"/>
      <c r="C18" s="642"/>
    </row>
    <row r="19" spans="1:3" ht="11.25" customHeight="1">
      <c r="A19" s="791"/>
      <c r="B19" s="642"/>
      <c r="C19" s="642"/>
    </row>
    <row r="20" spans="1:3" ht="11.25" customHeight="1">
      <c r="A20" s="1063"/>
      <c r="B20" s="642"/>
      <c r="C20" s="642"/>
    </row>
    <row r="21" spans="1:3" ht="11.25" customHeight="1">
      <c r="A21" s="688"/>
      <c r="B21" s="642"/>
      <c r="C21" s="642"/>
    </row>
  </sheetData>
  <mergeCells count="4">
    <mergeCell ref="A1:C1"/>
    <mergeCell ref="A5:C5"/>
    <mergeCell ref="A12:C12"/>
    <mergeCell ref="A16:C16"/>
  </mergeCells>
  <pageMargins left="0.75" right="0.75" top="1" bottom="1" header="0.5" footer="0.5"/>
  <pageSetup scale="7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9E02C-9F9C-4D3F-9815-A23629BEA180}">
  <sheetPr codeName="Sheet40"/>
  <dimension ref="A1:Q65"/>
  <sheetViews>
    <sheetView zoomScaleNormal="100" workbookViewId="0">
      <selection sqref="A1:C1"/>
    </sheetView>
  </sheetViews>
  <sheetFormatPr defaultColWidth="8.6640625" defaultRowHeight="11.25"/>
  <cols>
    <col min="1" max="1" width="90" style="1030" customWidth="1"/>
    <col min="2" max="3" width="20" style="229" customWidth="1"/>
    <col min="4" max="17" width="3.6640625" style="1141" customWidth="1"/>
    <col min="18" max="16384" width="8.6640625" style="1151"/>
  </cols>
  <sheetData>
    <row r="1" spans="1:3" ht="15.75" customHeight="1">
      <c r="A1" s="1244" t="s">
        <v>1534</v>
      </c>
      <c r="B1" s="1244"/>
      <c r="C1" s="1244"/>
    </row>
    <row r="2" spans="1:3" ht="11.25" customHeight="1">
      <c r="A2" s="1038"/>
      <c r="B2" s="333"/>
      <c r="C2" s="333"/>
    </row>
    <row r="3" spans="1:3" ht="133.5" customHeight="1">
      <c r="A3" s="1307" t="s">
        <v>1692</v>
      </c>
      <c r="B3" s="1307"/>
      <c r="C3" s="1307"/>
    </row>
    <row r="4" spans="1:3" ht="11.25" customHeight="1">
      <c r="A4" s="1032"/>
      <c r="B4" s="1032"/>
      <c r="C4" s="1032"/>
    </row>
    <row r="5" spans="1:3" ht="11.25" customHeight="1">
      <c r="A5" s="1306" t="s">
        <v>1535</v>
      </c>
      <c r="B5" s="1306"/>
      <c r="C5" s="1306"/>
    </row>
    <row r="6" spans="1:3" ht="11.25" customHeight="1">
      <c r="A6" s="1032"/>
      <c r="B6" s="1032"/>
      <c r="C6" s="1032"/>
    </row>
    <row r="7" spans="1:3" ht="11.25" customHeight="1">
      <c r="A7" s="1035" t="s">
        <v>700</v>
      </c>
      <c r="B7" s="467"/>
      <c r="C7" s="1147" t="s">
        <v>1421</v>
      </c>
    </row>
    <row r="8" spans="1:3" ht="11.25" customHeight="1">
      <c r="A8" s="1033" t="s">
        <v>179</v>
      </c>
      <c r="B8" s="1042"/>
      <c r="C8" s="641">
        <v>3</v>
      </c>
    </row>
    <row r="9" spans="1:3" ht="11.25" customHeight="1">
      <c r="A9" s="1033" t="s">
        <v>1403</v>
      </c>
      <c r="B9" s="1042"/>
      <c r="C9" s="641">
        <v>4</v>
      </c>
    </row>
    <row r="10" spans="1:3" ht="11.25" customHeight="1">
      <c r="A10" s="1081" t="s">
        <v>513</v>
      </c>
      <c r="B10" s="1042"/>
      <c r="C10" s="641">
        <v>8</v>
      </c>
    </row>
    <row r="11" spans="1:3" ht="11.25" customHeight="1">
      <c r="A11" s="1081" t="s">
        <v>523</v>
      </c>
      <c r="B11" s="1042"/>
      <c r="C11" s="641">
        <v>18</v>
      </c>
    </row>
    <row r="12" spans="1:3" ht="11.25" customHeight="1">
      <c r="A12" s="1081" t="s">
        <v>1575</v>
      </c>
      <c r="B12" s="1042"/>
      <c r="C12" s="641">
        <v>39</v>
      </c>
    </row>
    <row r="13" spans="1:3" ht="11.25" customHeight="1">
      <c r="A13" s="1177" t="s">
        <v>528</v>
      </c>
      <c r="B13" s="1180"/>
      <c r="C13" s="1181">
        <v>11</v>
      </c>
    </row>
    <row r="14" spans="1:3" s="1172" customFormat="1" ht="11.25" customHeight="1">
      <c r="A14" s="1169" t="s">
        <v>1039</v>
      </c>
      <c r="B14" s="1042"/>
      <c r="C14" s="641">
        <v>82</v>
      </c>
    </row>
    <row r="15" spans="1:3" s="1172" customFormat="1" ht="11.25" customHeight="1">
      <c r="A15" s="1168"/>
      <c r="B15" s="1042"/>
      <c r="C15" s="641"/>
    </row>
    <row r="16" spans="1:3" ht="11.25" customHeight="1">
      <c r="A16" s="1081" t="s">
        <v>1356</v>
      </c>
      <c r="B16" s="1042"/>
      <c r="C16" s="641">
        <v>4</v>
      </c>
    </row>
    <row r="17" spans="1:3" ht="11.25" customHeight="1">
      <c r="A17" s="1081" t="s">
        <v>735</v>
      </c>
      <c r="B17" s="1042"/>
      <c r="C17" s="641">
        <v>8</v>
      </c>
    </row>
    <row r="18" spans="1:3" ht="11.25" customHeight="1">
      <c r="A18" s="1102" t="s">
        <v>1577</v>
      </c>
      <c r="B18" s="1042"/>
      <c r="C18" s="641">
        <v>8</v>
      </c>
    </row>
    <row r="19" spans="1:3" ht="11.25" customHeight="1">
      <c r="A19" s="1177" t="s">
        <v>1576</v>
      </c>
      <c r="B19" s="1180"/>
      <c r="C19" s="1181">
        <v>47</v>
      </c>
    </row>
    <row r="20" spans="1:3" s="1172" customFormat="1" ht="11.25" customHeight="1">
      <c r="A20" s="1169" t="s">
        <v>1038</v>
      </c>
      <c r="B20" s="1042"/>
      <c r="C20" s="641">
        <v>68</v>
      </c>
    </row>
    <row r="21" spans="1:3" s="1172" customFormat="1" ht="11.25" customHeight="1">
      <c r="A21" s="1177"/>
      <c r="B21" s="1180"/>
      <c r="C21" s="1181"/>
    </row>
    <row r="22" spans="1:3" ht="11.25" customHeight="1">
      <c r="A22" s="1103" t="s">
        <v>1581</v>
      </c>
      <c r="B22" s="1105"/>
      <c r="C22" s="1106">
        <v>14</v>
      </c>
    </row>
    <row r="23" spans="1:3" ht="11.25" customHeight="1">
      <c r="A23" s="239"/>
      <c r="B23" s="239"/>
      <c r="C23" s="239"/>
    </row>
    <row r="24" spans="1:3" ht="11.25" customHeight="1">
      <c r="A24" s="239"/>
      <c r="B24" s="239"/>
      <c r="C24" s="239"/>
    </row>
    <row r="25" spans="1:3" ht="11.25" customHeight="1">
      <c r="A25" s="1216"/>
      <c r="B25" s="1216"/>
      <c r="C25" s="1216"/>
    </row>
    <row r="26" spans="1:3" ht="11.25" customHeight="1">
      <c r="A26" s="239"/>
      <c r="B26" s="239"/>
      <c r="C26" s="239"/>
    </row>
    <row r="27" spans="1:3">
      <c r="A27" s="1216"/>
      <c r="B27" s="1216"/>
      <c r="C27" s="1216"/>
    </row>
    <row r="28" spans="1:3">
      <c r="A28" s="239"/>
      <c r="B28" s="239"/>
      <c r="C28" s="239"/>
    </row>
    <row r="29" spans="1:3" ht="20.85" customHeight="1">
      <c r="A29" s="1216"/>
      <c r="B29" s="1216"/>
      <c r="C29" s="1216"/>
    </row>
    <row r="30" spans="1:3">
      <c r="A30" s="239"/>
      <c r="B30" s="239"/>
      <c r="C30" s="239"/>
    </row>
    <row r="31" spans="1:3" ht="20.85" customHeight="1">
      <c r="A31" s="1216"/>
      <c r="B31" s="1216"/>
      <c r="C31" s="1216"/>
    </row>
    <row r="32" spans="1:3">
      <c r="A32" s="239"/>
      <c r="B32" s="239"/>
      <c r="C32" s="239"/>
    </row>
    <row r="33" spans="1:3" ht="33.75" customHeight="1">
      <c r="A33" s="239"/>
      <c r="B33" s="239"/>
      <c r="C33" s="239"/>
    </row>
    <row r="34" spans="1:3">
      <c r="A34" s="239"/>
      <c r="B34" s="239"/>
      <c r="C34" s="239"/>
    </row>
    <row r="35" spans="1:3">
      <c r="A35" s="239"/>
      <c r="B35" s="239"/>
      <c r="C35" s="239"/>
    </row>
    <row r="36" spans="1:3">
      <c r="A36" s="239"/>
      <c r="B36" s="239"/>
      <c r="C36" s="239"/>
    </row>
    <row r="37" spans="1:3">
      <c r="A37" s="239"/>
      <c r="B37" s="239"/>
      <c r="C37" s="239"/>
    </row>
    <row r="38" spans="1:3">
      <c r="A38" s="239"/>
      <c r="B38" s="239"/>
      <c r="C38" s="239"/>
    </row>
    <row r="39" spans="1:3">
      <c r="A39" s="239"/>
      <c r="B39" s="239"/>
      <c r="C39" s="239"/>
    </row>
    <row r="40" spans="1:3">
      <c r="A40" s="239"/>
      <c r="B40" s="239"/>
      <c r="C40" s="239"/>
    </row>
    <row r="41" spans="1:3">
      <c r="A41" s="239"/>
      <c r="B41" s="239"/>
      <c r="C41" s="239"/>
    </row>
    <row r="42" spans="1:3">
      <c r="A42" s="239"/>
      <c r="B42" s="239"/>
      <c r="C42" s="239"/>
    </row>
    <row r="43" spans="1:3">
      <c r="A43" s="239"/>
      <c r="B43" s="239"/>
      <c r="C43" s="239"/>
    </row>
    <row r="44" spans="1:3">
      <c r="A44" s="239"/>
      <c r="B44" s="239"/>
      <c r="C44" s="239"/>
    </row>
    <row r="45" spans="1:3">
      <c r="A45" s="239"/>
      <c r="B45" s="239"/>
      <c r="C45" s="239"/>
    </row>
    <row r="46" spans="1:3">
      <c r="A46" s="239"/>
      <c r="B46" s="239"/>
      <c r="C46" s="239"/>
    </row>
    <row r="47" spans="1:3">
      <c r="A47" s="239"/>
      <c r="B47" s="239"/>
      <c r="C47" s="239"/>
    </row>
    <row r="48" spans="1:3">
      <c r="A48" s="239"/>
      <c r="B48" s="239"/>
      <c r="C48" s="239"/>
    </row>
    <row r="49" spans="1:3">
      <c r="A49" s="239"/>
      <c r="B49" s="239"/>
      <c r="C49" s="239"/>
    </row>
    <row r="50" spans="1:3">
      <c r="A50" s="239"/>
      <c r="B50" s="239"/>
      <c r="C50" s="239"/>
    </row>
    <row r="51" spans="1:3">
      <c r="A51" s="239"/>
      <c r="B51" s="239"/>
      <c r="C51" s="239"/>
    </row>
    <row r="52" spans="1:3">
      <c r="A52" s="239"/>
      <c r="B52" s="239"/>
      <c r="C52" s="239"/>
    </row>
    <row r="53" spans="1:3">
      <c r="A53" s="239"/>
      <c r="B53" s="239"/>
      <c r="C53" s="239"/>
    </row>
    <row r="54" spans="1:3">
      <c r="A54" s="239"/>
      <c r="B54" s="239"/>
      <c r="C54" s="239"/>
    </row>
    <row r="55" spans="1:3">
      <c r="A55" s="239"/>
      <c r="B55" s="239"/>
      <c r="C55" s="239"/>
    </row>
    <row r="56" spans="1:3">
      <c r="A56" s="239"/>
      <c r="B56" s="239"/>
      <c r="C56" s="239"/>
    </row>
    <row r="57" spans="1:3">
      <c r="A57" s="239"/>
      <c r="B57" s="239"/>
      <c r="C57" s="239"/>
    </row>
    <row r="58" spans="1:3">
      <c r="A58" s="239"/>
      <c r="B58" s="239"/>
      <c r="C58" s="239"/>
    </row>
    <row r="59" spans="1:3">
      <c r="A59" s="239"/>
      <c r="B59" s="239"/>
      <c r="C59" s="239"/>
    </row>
    <row r="60" spans="1:3">
      <c r="A60" s="239"/>
      <c r="B60" s="239"/>
      <c r="C60" s="239"/>
    </row>
    <row r="61" spans="1:3">
      <c r="A61" s="239"/>
      <c r="B61" s="239"/>
      <c r="C61" s="239"/>
    </row>
    <row r="62" spans="1:3">
      <c r="A62" s="239"/>
      <c r="B62" s="239"/>
      <c r="C62" s="239"/>
    </row>
    <row r="63" spans="1:3">
      <c r="A63" s="239"/>
      <c r="B63" s="239"/>
      <c r="C63" s="239"/>
    </row>
    <row r="64" spans="1:3">
      <c r="A64" s="239"/>
      <c r="B64" s="239"/>
      <c r="C64" s="239"/>
    </row>
    <row r="65" spans="1:3">
      <c r="A65" s="239"/>
      <c r="B65" s="239"/>
      <c r="C65" s="239"/>
    </row>
  </sheetData>
  <mergeCells count="7">
    <mergeCell ref="A1:C1"/>
    <mergeCell ref="A5:C5"/>
    <mergeCell ref="A31:C31"/>
    <mergeCell ref="A25:C25"/>
    <mergeCell ref="A27:C27"/>
    <mergeCell ref="A29:C29"/>
    <mergeCell ref="A3:C3"/>
  </mergeCells>
  <pageMargins left="0.75" right="0.75" top="1" bottom="1" header="0.5" footer="0.5"/>
  <pageSetup scale="87" orientation="portrait" horizont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Q86"/>
  <sheetViews>
    <sheetView zoomScaleNormal="100" workbookViewId="0">
      <selection sqref="A1:D1"/>
    </sheetView>
  </sheetViews>
  <sheetFormatPr defaultColWidth="8.6640625" defaultRowHeight="11.25"/>
  <cols>
    <col min="1" max="1" width="2.5" style="239" customWidth="1"/>
    <col min="2" max="2" width="87.5" style="224" customWidth="1"/>
    <col min="3" max="4" width="20" style="229" customWidth="1"/>
    <col min="5" max="17" width="3.6640625" style="205" customWidth="1"/>
    <col min="18" max="16384" width="8.6640625" style="1151"/>
  </cols>
  <sheetData>
    <row r="1" spans="1:17" ht="15.75" customHeight="1">
      <c r="A1" s="1296" t="s">
        <v>1509</v>
      </c>
      <c r="B1" s="1296"/>
      <c r="C1" s="1296"/>
      <c r="D1" s="1296"/>
    </row>
    <row r="2" spans="1:17" ht="11.25" customHeight="1">
      <c r="A2" s="463"/>
      <c r="B2" s="219"/>
      <c r="C2" s="333"/>
      <c r="D2" s="333"/>
    </row>
    <row r="3" spans="1:17" ht="11.25" customHeight="1">
      <c r="A3" s="1310" t="s">
        <v>1311</v>
      </c>
      <c r="B3" s="1310"/>
      <c r="C3" s="1310"/>
      <c r="D3" s="1310"/>
      <c r="E3" s="763"/>
      <c r="F3" s="763"/>
      <c r="G3" s="763"/>
      <c r="H3" s="763"/>
      <c r="I3" s="763"/>
      <c r="J3" s="763"/>
      <c r="K3" s="763"/>
      <c r="L3" s="763"/>
      <c r="M3" s="763"/>
      <c r="N3" s="763"/>
      <c r="O3" s="763"/>
      <c r="P3" s="763"/>
      <c r="Q3" s="763"/>
    </row>
    <row r="4" spans="1:17" ht="11.25" customHeight="1">
      <c r="A4" s="776"/>
      <c r="B4" s="776"/>
      <c r="C4" s="776"/>
      <c r="D4" s="776"/>
      <c r="E4" s="775"/>
      <c r="F4" s="775"/>
      <c r="G4" s="775"/>
      <c r="H4" s="775"/>
      <c r="I4" s="775"/>
      <c r="J4" s="775"/>
      <c r="K4" s="775"/>
      <c r="L4" s="775"/>
      <c r="M4" s="775"/>
      <c r="N4" s="775"/>
      <c r="O4" s="775"/>
      <c r="P4" s="775"/>
      <c r="Q4" s="775"/>
    </row>
    <row r="5" spans="1:17">
      <c r="A5" s="1308" t="s">
        <v>1312</v>
      </c>
      <c r="B5" s="1308"/>
      <c r="C5" s="1308"/>
      <c r="D5" s="1308"/>
    </row>
    <row r="6" spans="1:17" ht="11.25" customHeight="1">
      <c r="A6" s="775"/>
      <c r="B6" s="775"/>
      <c r="C6" s="775"/>
      <c r="D6" s="775"/>
    </row>
    <row r="7" spans="1:17" ht="11.25" customHeight="1">
      <c r="A7" s="1245" t="s">
        <v>700</v>
      </c>
      <c r="B7" s="1245"/>
      <c r="C7" s="558">
        <v>2019</v>
      </c>
      <c r="D7" s="451">
        <v>2018</v>
      </c>
    </row>
    <row r="8" spans="1:17" ht="11.25" customHeight="1">
      <c r="A8" s="1241" t="s">
        <v>1313</v>
      </c>
      <c r="B8" s="1241" t="s">
        <v>1313</v>
      </c>
      <c r="C8" s="963"/>
      <c r="D8" s="964"/>
    </row>
    <row r="9" spans="1:17" ht="11.25" customHeight="1">
      <c r="A9" s="1229" t="s">
        <v>1435</v>
      </c>
      <c r="B9" s="1229" t="s">
        <v>1435</v>
      </c>
      <c r="C9" s="963">
        <v>846</v>
      </c>
      <c r="D9" s="964">
        <v>765</v>
      </c>
      <c r="E9" s="853"/>
      <c r="F9" s="853"/>
      <c r="G9" s="853"/>
      <c r="H9" s="853"/>
      <c r="I9" s="853"/>
      <c r="J9" s="853"/>
      <c r="K9" s="853"/>
      <c r="L9" s="853"/>
      <c r="M9" s="853"/>
      <c r="N9" s="853"/>
      <c r="O9" s="853"/>
      <c r="P9" s="853"/>
      <c r="Q9" s="853"/>
    </row>
    <row r="10" spans="1:17" ht="11.25" customHeight="1">
      <c r="A10" s="1258" t="s">
        <v>1436</v>
      </c>
      <c r="B10" s="1258" t="s">
        <v>1436</v>
      </c>
      <c r="C10" s="855">
        <v>338</v>
      </c>
      <c r="D10" s="777">
        <v>380</v>
      </c>
      <c r="E10" s="853"/>
      <c r="F10" s="853"/>
      <c r="G10" s="853"/>
      <c r="H10" s="853"/>
      <c r="I10" s="853"/>
      <c r="J10" s="853"/>
      <c r="K10" s="853"/>
      <c r="L10" s="853"/>
      <c r="M10" s="853"/>
      <c r="N10" s="853"/>
      <c r="O10" s="853"/>
      <c r="P10" s="853"/>
      <c r="Q10" s="853"/>
    </row>
    <row r="11" spans="1:17" ht="11.25" customHeight="1">
      <c r="A11" s="1241" t="s">
        <v>641</v>
      </c>
      <c r="B11" s="1241" t="s">
        <v>641</v>
      </c>
      <c r="C11" s="963">
        <v>1184</v>
      </c>
      <c r="D11" s="964">
        <v>1145</v>
      </c>
      <c r="E11" s="853"/>
      <c r="F11" s="853"/>
      <c r="G11" s="853"/>
      <c r="H11" s="853"/>
      <c r="I11" s="853"/>
      <c r="J11" s="853"/>
      <c r="K11" s="853"/>
      <c r="L11" s="853"/>
      <c r="M11" s="853"/>
      <c r="N11" s="853"/>
      <c r="O11" s="853"/>
      <c r="P11" s="853"/>
      <c r="Q11" s="853"/>
    </row>
    <row r="12" spans="1:17" ht="11.25" customHeight="1">
      <c r="A12" s="1311"/>
      <c r="B12" s="1311"/>
      <c r="C12" s="963"/>
      <c r="D12" s="964"/>
      <c r="E12" s="853"/>
      <c r="F12" s="853"/>
      <c r="G12" s="853"/>
      <c r="H12" s="853"/>
      <c r="I12" s="853"/>
      <c r="J12" s="853"/>
      <c r="K12" s="853"/>
      <c r="L12" s="853"/>
      <c r="M12" s="853"/>
      <c r="N12" s="853"/>
      <c r="O12" s="853"/>
      <c r="P12" s="853"/>
      <c r="Q12" s="853"/>
    </row>
    <row r="13" spans="1:17" ht="11.25" customHeight="1">
      <c r="A13" s="1241" t="s">
        <v>1314</v>
      </c>
      <c r="B13" s="1241" t="s">
        <v>1314</v>
      </c>
      <c r="C13" s="963"/>
      <c r="D13" s="964"/>
    </row>
    <row r="14" spans="1:17" ht="11.25" customHeight="1">
      <c r="A14" s="1229" t="s">
        <v>1435</v>
      </c>
      <c r="B14" s="1229" t="s">
        <v>1435</v>
      </c>
      <c r="C14" s="963">
        <v>509</v>
      </c>
      <c r="D14" s="964">
        <v>469</v>
      </c>
      <c r="E14" s="853"/>
      <c r="F14" s="853"/>
      <c r="G14" s="853"/>
      <c r="H14" s="853"/>
      <c r="I14" s="853"/>
      <c r="J14" s="853"/>
      <c r="K14" s="853"/>
      <c r="L14" s="853"/>
      <c r="M14" s="853"/>
      <c r="N14" s="853"/>
      <c r="O14" s="853"/>
      <c r="P14" s="853"/>
      <c r="Q14" s="853"/>
    </row>
    <row r="15" spans="1:17" ht="11.25" customHeight="1">
      <c r="A15" s="1258" t="s">
        <v>1436</v>
      </c>
      <c r="B15" s="1258" t="s">
        <v>1436</v>
      </c>
      <c r="C15" s="855">
        <v>93</v>
      </c>
      <c r="D15" s="777">
        <v>88</v>
      </c>
      <c r="E15" s="853"/>
      <c r="F15" s="853"/>
      <c r="G15" s="853"/>
      <c r="H15" s="853"/>
      <c r="I15" s="853"/>
      <c r="J15" s="853"/>
      <c r="K15" s="853"/>
      <c r="L15" s="853"/>
      <c r="M15" s="853"/>
      <c r="N15" s="853"/>
      <c r="O15" s="853"/>
      <c r="P15" s="853"/>
      <c r="Q15" s="853"/>
    </row>
    <row r="16" spans="1:17" ht="11.25" customHeight="1">
      <c r="A16" s="1241" t="s">
        <v>641</v>
      </c>
      <c r="B16" s="1241" t="s">
        <v>641</v>
      </c>
      <c r="C16" s="963">
        <v>603</v>
      </c>
      <c r="D16" s="964">
        <v>557</v>
      </c>
      <c r="E16" s="853"/>
      <c r="F16" s="853"/>
      <c r="G16" s="853"/>
      <c r="H16" s="853"/>
      <c r="I16" s="853"/>
      <c r="J16" s="853"/>
      <c r="K16" s="853"/>
      <c r="L16" s="853"/>
      <c r="M16" s="853"/>
      <c r="N16" s="853"/>
      <c r="O16" s="853"/>
      <c r="P16" s="853"/>
      <c r="Q16" s="853"/>
    </row>
    <row r="17" spans="1:17" ht="11.25" customHeight="1">
      <c r="A17" s="1257"/>
      <c r="B17" s="1257"/>
      <c r="C17" s="963"/>
      <c r="D17" s="964"/>
      <c r="E17" s="853"/>
      <c r="F17" s="853"/>
      <c r="G17" s="853"/>
      <c r="H17" s="853"/>
      <c r="I17" s="853"/>
      <c r="J17" s="853"/>
      <c r="K17" s="853"/>
      <c r="L17" s="853"/>
      <c r="M17" s="853"/>
      <c r="N17" s="853"/>
      <c r="O17" s="853"/>
      <c r="P17" s="853"/>
      <c r="Q17" s="853"/>
    </row>
    <row r="18" spans="1:17" ht="11.25" customHeight="1">
      <c r="A18" s="1241" t="s">
        <v>1315</v>
      </c>
      <c r="B18" s="1241" t="s">
        <v>1315</v>
      </c>
      <c r="C18" s="963"/>
      <c r="D18" s="964"/>
    </row>
    <row r="19" spans="1:17" ht="11.25" customHeight="1">
      <c r="A19" s="1229" t="s">
        <v>1435</v>
      </c>
      <c r="B19" s="1229" t="s">
        <v>1435</v>
      </c>
      <c r="C19" s="963">
        <v>1786</v>
      </c>
      <c r="D19" s="964">
        <v>1377</v>
      </c>
      <c r="E19" s="853"/>
      <c r="F19" s="853"/>
      <c r="G19" s="853"/>
      <c r="H19" s="853"/>
      <c r="I19" s="853"/>
      <c r="J19" s="853"/>
      <c r="K19" s="853"/>
      <c r="L19" s="853"/>
      <c r="M19" s="853"/>
      <c r="N19" s="853"/>
      <c r="O19" s="853"/>
      <c r="P19" s="853"/>
      <c r="Q19" s="853"/>
    </row>
    <row r="20" spans="1:17" ht="11.25" customHeight="1">
      <c r="A20" s="1258" t="s">
        <v>1436</v>
      </c>
      <c r="B20" s="1258" t="s">
        <v>1436</v>
      </c>
      <c r="C20" s="855">
        <v>1113</v>
      </c>
      <c r="D20" s="777">
        <v>1615</v>
      </c>
      <c r="E20" s="853"/>
      <c r="F20" s="853"/>
      <c r="G20" s="853"/>
      <c r="H20" s="853"/>
      <c r="I20" s="853"/>
      <c r="J20" s="853"/>
      <c r="K20" s="853"/>
      <c r="L20" s="853"/>
      <c r="M20" s="853"/>
      <c r="N20" s="853"/>
      <c r="O20" s="853"/>
      <c r="P20" s="853"/>
      <c r="Q20" s="853"/>
    </row>
    <row r="21" spans="1:17" ht="11.25" customHeight="1">
      <c r="A21" s="1241" t="s">
        <v>641</v>
      </c>
      <c r="B21" s="1241" t="s">
        <v>641</v>
      </c>
      <c r="C21" s="963">
        <v>2899</v>
      </c>
      <c r="D21" s="964">
        <v>2992</v>
      </c>
      <c r="E21" s="853"/>
      <c r="F21" s="853"/>
      <c r="G21" s="853"/>
      <c r="H21" s="853"/>
      <c r="I21" s="853"/>
      <c r="J21" s="853"/>
      <c r="K21" s="853"/>
      <c r="L21" s="853"/>
      <c r="M21" s="853"/>
      <c r="N21" s="853"/>
      <c r="O21" s="853"/>
      <c r="P21" s="853"/>
      <c r="Q21" s="853"/>
    </row>
    <row r="22" spans="1:17" ht="11.25" customHeight="1">
      <c r="A22" s="1257"/>
      <c r="B22" s="1257"/>
      <c r="C22" s="963"/>
      <c r="D22" s="964"/>
      <c r="E22" s="853"/>
      <c r="F22" s="853"/>
      <c r="G22" s="853"/>
      <c r="H22" s="853"/>
      <c r="I22" s="853"/>
      <c r="J22" s="853"/>
      <c r="K22" s="853"/>
      <c r="L22" s="853"/>
      <c r="M22" s="853"/>
      <c r="N22" s="853"/>
      <c r="O22" s="853"/>
      <c r="P22" s="853"/>
      <c r="Q22" s="853"/>
    </row>
    <row r="23" spans="1:17" ht="11.25" customHeight="1">
      <c r="A23" s="1241" t="s">
        <v>1316</v>
      </c>
      <c r="B23" s="1241"/>
      <c r="C23" s="963"/>
      <c r="D23" s="964"/>
    </row>
    <row r="24" spans="1:17" ht="11.25" customHeight="1">
      <c r="A24" s="1229" t="s">
        <v>1435</v>
      </c>
      <c r="B24" s="1229" t="s">
        <v>1435</v>
      </c>
      <c r="C24" s="963">
        <v>189</v>
      </c>
      <c r="D24" s="964">
        <v>204</v>
      </c>
      <c r="E24" s="853"/>
      <c r="F24" s="853"/>
      <c r="G24" s="853"/>
      <c r="H24" s="853"/>
      <c r="I24" s="853"/>
      <c r="J24" s="853"/>
      <c r="K24" s="853"/>
      <c r="L24" s="853"/>
      <c r="M24" s="853"/>
      <c r="N24" s="853"/>
      <c r="O24" s="853"/>
      <c r="P24" s="853"/>
      <c r="Q24" s="853"/>
    </row>
    <row r="25" spans="1:17" ht="11.25" customHeight="1">
      <c r="A25" s="1258" t="s">
        <v>1436</v>
      </c>
      <c r="B25" s="1258" t="s">
        <v>1436</v>
      </c>
      <c r="C25" s="855">
        <v>296</v>
      </c>
      <c r="D25" s="777">
        <v>276</v>
      </c>
      <c r="E25" s="853"/>
      <c r="F25" s="853"/>
      <c r="G25" s="853"/>
      <c r="H25" s="853"/>
      <c r="I25" s="853"/>
      <c r="J25" s="853"/>
      <c r="K25" s="853"/>
      <c r="L25" s="853"/>
      <c r="M25" s="853"/>
      <c r="N25" s="853"/>
      <c r="O25" s="853"/>
      <c r="P25" s="853"/>
      <c r="Q25" s="853"/>
    </row>
    <row r="26" spans="1:17" ht="11.25" customHeight="1">
      <c r="A26" s="1241" t="s">
        <v>641</v>
      </c>
      <c r="B26" s="1241" t="s">
        <v>641</v>
      </c>
      <c r="C26" s="963">
        <v>484</v>
      </c>
      <c r="D26" s="964">
        <v>480</v>
      </c>
      <c r="E26" s="853"/>
      <c r="F26" s="853"/>
      <c r="G26" s="853"/>
      <c r="H26" s="853"/>
      <c r="I26" s="853"/>
      <c r="J26" s="853"/>
      <c r="K26" s="853"/>
      <c r="L26" s="853"/>
      <c r="M26" s="853"/>
      <c r="N26" s="853"/>
      <c r="O26" s="853"/>
      <c r="P26" s="853"/>
      <c r="Q26" s="853"/>
    </row>
    <row r="27" spans="1:17" ht="11.25" customHeight="1">
      <c r="A27" s="1309"/>
      <c r="B27" s="1309"/>
      <c r="C27" s="855"/>
      <c r="D27" s="777"/>
      <c r="E27" s="853"/>
      <c r="F27" s="853"/>
      <c r="G27" s="853"/>
      <c r="H27" s="853"/>
      <c r="I27" s="853"/>
      <c r="J27" s="853"/>
      <c r="K27" s="853"/>
      <c r="L27" s="853"/>
      <c r="M27" s="853"/>
      <c r="N27" s="853"/>
      <c r="O27" s="853"/>
      <c r="P27" s="853"/>
      <c r="Q27" s="853"/>
    </row>
    <row r="28" spans="1:17" ht="11.25" customHeight="1">
      <c r="A28" s="1266" t="s">
        <v>641</v>
      </c>
      <c r="B28" s="1266"/>
      <c r="C28" s="537">
        <v>5170</v>
      </c>
      <c r="D28" s="965">
        <v>5174</v>
      </c>
    </row>
    <row r="29" spans="1:17" ht="11.25" customHeight="1">
      <c r="A29" s="1141"/>
      <c r="B29" s="1141"/>
      <c r="C29" s="1141"/>
      <c r="D29" s="1141"/>
    </row>
    <row r="30" spans="1:17" ht="11.25" customHeight="1">
      <c r="A30" s="1141"/>
      <c r="B30" s="1141"/>
      <c r="C30" s="1141"/>
      <c r="D30" s="1141"/>
    </row>
    <row r="31" spans="1:17">
      <c r="A31" s="1308" t="s">
        <v>1317</v>
      </c>
      <c r="B31" s="1308"/>
      <c r="C31" s="1308"/>
      <c r="D31" s="1308"/>
    </row>
    <row r="32" spans="1:17">
      <c r="A32" s="1141"/>
      <c r="B32" s="1141"/>
      <c r="C32" s="1141"/>
      <c r="D32" s="1141"/>
    </row>
    <row r="33" spans="1:17">
      <c r="A33" s="1245" t="s">
        <v>700</v>
      </c>
      <c r="B33" s="1245"/>
      <c r="C33" s="558">
        <v>2019</v>
      </c>
      <c r="D33" s="451">
        <v>2018</v>
      </c>
    </row>
    <row r="34" spans="1:17" ht="11.25" customHeight="1">
      <c r="A34" s="1241" t="s">
        <v>1318</v>
      </c>
      <c r="B34" s="1241" t="s">
        <v>1318</v>
      </c>
      <c r="C34" s="963"/>
      <c r="D34" s="964"/>
    </row>
    <row r="35" spans="1:17" ht="11.25" customHeight="1">
      <c r="A35" s="1229" t="s">
        <v>1435</v>
      </c>
      <c r="B35" s="1229" t="s">
        <v>1435</v>
      </c>
      <c r="C35" s="963">
        <v>2622</v>
      </c>
      <c r="D35" s="964">
        <v>2210</v>
      </c>
      <c r="E35" s="853"/>
      <c r="F35" s="853"/>
      <c r="G35" s="853"/>
      <c r="H35" s="853"/>
      <c r="I35" s="853"/>
      <c r="J35" s="853"/>
      <c r="K35" s="853"/>
      <c r="L35" s="853"/>
      <c r="M35" s="853"/>
      <c r="N35" s="853"/>
      <c r="O35" s="853"/>
      <c r="P35" s="853"/>
      <c r="Q35" s="853"/>
    </row>
    <row r="36" spans="1:17" ht="11.25" customHeight="1">
      <c r="A36" s="1258" t="s">
        <v>1436</v>
      </c>
      <c r="B36" s="1258" t="s">
        <v>1436</v>
      </c>
      <c r="C36" s="855">
        <v>1105</v>
      </c>
      <c r="D36" s="777">
        <v>1531</v>
      </c>
      <c r="E36" s="853"/>
      <c r="F36" s="853"/>
      <c r="G36" s="853"/>
      <c r="H36" s="853"/>
      <c r="I36" s="853"/>
      <c r="J36" s="853"/>
      <c r="K36" s="853"/>
      <c r="L36" s="853"/>
      <c r="M36" s="853"/>
      <c r="N36" s="853"/>
      <c r="O36" s="853"/>
      <c r="P36" s="853"/>
      <c r="Q36" s="853"/>
    </row>
    <row r="37" spans="1:17" ht="11.25" customHeight="1">
      <c r="A37" s="1241" t="s">
        <v>641</v>
      </c>
      <c r="B37" s="1241" t="s">
        <v>641</v>
      </c>
      <c r="C37" s="963">
        <v>3728</v>
      </c>
      <c r="D37" s="964">
        <v>3740</v>
      </c>
      <c r="E37" s="853"/>
      <c r="F37" s="853"/>
      <c r="G37" s="853"/>
      <c r="H37" s="853"/>
      <c r="I37" s="853"/>
      <c r="J37" s="853"/>
      <c r="K37" s="853"/>
      <c r="L37" s="853"/>
      <c r="M37" s="853"/>
      <c r="N37" s="853"/>
      <c r="O37" s="853"/>
      <c r="P37" s="853"/>
      <c r="Q37" s="853"/>
    </row>
    <row r="38" spans="1:17" ht="11.25" customHeight="1">
      <c r="A38" s="1237"/>
      <c r="B38" s="1237"/>
      <c r="C38" s="963"/>
      <c r="D38" s="964"/>
      <c r="E38" s="853"/>
      <c r="F38" s="853"/>
      <c r="G38" s="853"/>
      <c r="H38" s="853"/>
      <c r="I38" s="853"/>
      <c r="J38" s="853"/>
      <c r="K38" s="853"/>
      <c r="L38" s="853"/>
      <c r="M38" s="853"/>
      <c r="N38" s="853"/>
      <c r="O38" s="853"/>
      <c r="P38" s="853"/>
      <c r="Q38" s="853"/>
    </row>
    <row r="39" spans="1:17" ht="11.25" customHeight="1">
      <c r="A39" s="1241" t="s">
        <v>1319</v>
      </c>
      <c r="B39" s="1241"/>
      <c r="C39" s="963"/>
      <c r="D39" s="964"/>
    </row>
    <row r="40" spans="1:17" ht="11.25" customHeight="1">
      <c r="A40" s="1229" t="s">
        <v>1435</v>
      </c>
      <c r="B40" s="1229" t="s">
        <v>1435</v>
      </c>
      <c r="C40" s="963">
        <v>708</v>
      </c>
      <c r="D40" s="964">
        <v>606</v>
      </c>
      <c r="E40" s="853"/>
      <c r="F40" s="853"/>
      <c r="G40" s="853"/>
      <c r="H40" s="853"/>
      <c r="I40" s="853"/>
      <c r="J40" s="853"/>
      <c r="K40" s="853"/>
      <c r="L40" s="853"/>
      <c r="M40" s="853"/>
      <c r="N40" s="853"/>
      <c r="O40" s="853"/>
      <c r="P40" s="853"/>
      <c r="Q40" s="853"/>
    </row>
    <row r="41" spans="1:17" ht="11.25" customHeight="1">
      <c r="A41" s="1258" t="s">
        <v>1436</v>
      </c>
      <c r="B41" s="1258" t="s">
        <v>1436</v>
      </c>
      <c r="C41" s="855">
        <v>735</v>
      </c>
      <c r="D41" s="777">
        <v>828</v>
      </c>
      <c r="E41" s="853"/>
      <c r="F41" s="853"/>
      <c r="G41" s="853"/>
      <c r="H41" s="853"/>
      <c r="I41" s="853"/>
      <c r="J41" s="853"/>
      <c r="K41" s="853"/>
      <c r="L41" s="853"/>
      <c r="M41" s="853"/>
      <c r="N41" s="853"/>
      <c r="O41" s="853"/>
      <c r="P41" s="853"/>
      <c r="Q41" s="853"/>
    </row>
    <row r="42" spans="1:17" ht="11.25" customHeight="1">
      <c r="A42" s="1241" t="s">
        <v>641</v>
      </c>
      <c r="B42" s="1241" t="s">
        <v>641</v>
      </c>
      <c r="C42" s="963">
        <v>1442</v>
      </c>
      <c r="D42" s="964">
        <v>1434</v>
      </c>
      <c r="E42" s="853"/>
      <c r="F42" s="853"/>
      <c r="G42" s="853"/>
      <c r="H42" s="853"/>
      <c r="I42" s="853"/>
      <c r="J42" s="853"/>
      <c r="K42" s="853"/>
      <c r="L42" s="853"/>
      <c r="M42" s="853"/>
      <c r="N42" s="853"/>
      <c r="O42" s="853"/>
      <c r="P42" s="853"/>
      <c r="Q42" s="853"/>
    </row>
    <row r="43" spans="1:17" ht="11.25" customHeight="1">
      <c r="A43" s="1255"/>
      <c r="B43" s="1255"/>
      <c r="C43" s="855"/>
      <c r="D43" s="777"/>
      <c r="E43" s="853"/>
      <c r="F43" s="853"/>
      <c r="G43" s="853"/>
      <c r="H43" s="853"/>
      <c r="I43" s="853"/>
      <c r="J43" s="853"/>
      <c r="K43" s="853"/>
      <c r="L43" s="853"/>
      <c r="M43" s="853"/>
      <c r="N43" s="853"/>
      <c r="O43" s="853"/>
      <c r="P43" s="853"/>
      <c r="Q43" s="853"/>
    </row>
    <row r="44" spans="1:17" ht="11.25" customHeight="1">
      <c r="A44" s="1266" t="s">
        <v>641</v>
      </c>
      <c r="B44" s="1266"/>
      <c r="C44" s="1056">
        <v>5170</v>
      </c>
      <c r="D44" s="965">
        <v>5174</v>
      </c>
    </row>
    <row r="45" spans="1:17">
      <c r="B45" s="239"/>
      <c r="C45" s="239"/>
      <c r="D45" s="239"/>
    </row>
    <row r="46" spans="1:17" ht="21.75" customHeight="1">
      <c r="A46" s="1216" t="s">
        <v>1320</v>
      </c>
      <c r="B46" s="1216"/>
      <c r="C46" s="1216"/>
      <c r="D46" s="1216"/>
    </row>
    <row r="47" spans="1:17">
      <c r="B47" s="239"/>
      <c r="C47" s="239"/>
      <c r="D47" s="239"/>
    </row>
    <row r="48" spans="1:17" ht="21.75" customHeight="1">
      <c r="A48" s="1216" t="s">
        <v>1321</v>
      </c>
      <c r="B48" s="1216"/>
      <c r="C48" s="1216"/>
      <c r="D48" s="1216"/>
    </row>
    <row r="49" spans="1:4">
      <c r="B49" s="239"/>
      <c r="C49" s="239"/>
      <c r="D49" s="239"/>
    </row>
    <row r="50" spans="1:4" ht="33.75" customHeight="1">
      <c r="A50" s="1216" t="s">
        <v>1322</v>
      </c>
      <c r="B50" s="1216"/>
      <c r="C50" s="1216"/>
      <c r="D50" s="1216"/>
    </row>
    <row r="51" spans="1:4">
      <c r="B51" s="239"/>
      <c r="C51" s="239"/>
      <c r="D51" s="239"/>
    </row>
    <row r="52" spans="1:4">
      <c r="A52" s="1216" t="s">
        <v>1323</v>
      </c>
      <c r="B52" s="1216"/>
      <c r="C52" s="1216"/>
      <c r="D52" s="1216"/>
    </row>
    <row r="53" spans="1:4">
      <c r="B53" s="239"/>
      <c r="C53" s="239"/>
      <c r="D53" s="239"/>
    </row>
    <row r="54" spans="1:4">
      <c r="B54" s="239"/>
      <c r="C54" s="239"/>
      <c r="D54" s="239"/>
    </row>
    <row r="55" spans="1:4">
      <c r="B55" s="239"/>
      <c r="C55" s="239"/>
      <c r="D55" s="239"/>
    </row>
    <row r="56" spans="1:4">
      <c r="B56" s="239"/>
      <c r="C56" s="239"/>
      <c r="D56" s="239"/>
    </row>
    <row r="57" spans="1:4">
      <c r="B57" s="239"/>
      <c r="C57" s="239"/>
      <c r="D57" s="239"/>
    </row>
    <row r="58" spans="1:4">
      <c r="B58" s="239"/>
      <c r="C58" s="239"/>
      <c r="D58" s="239"/>
    </row>
    <row r="59" spans="1:4">
      <c r="B59" s="239"/>
      <c r="C59" s="239"/>
      <c r="D59" s="239"/>
    </row>
    <row r="60" spans="1:4">
      <c r="B60" s="239"/>
      <c r="C60" s="239"/>
      <c r="D60" s="239"/>
    </row>
    <row r="61" spans="1:4">
      <c r="B61" s="239"/>
      <c r="C61" s="239"/>
      <c r="D61" s="239"/>
    </row>
    <row r="62" spans="1:4">
      <c r="B62" s="239"/>
      <c r="C62" s="239"/>
      <c r="D62" s="239"/>
    </row>
    <row r="63" spans="1:4">
      <c r="B63" s="239"/>
      <c r="C63" s="239"/>
      <c r="D63" s="239"/>
    </row>
    <row r="64" spans="1:4">
      <c r="B64" s="239"/>
      <c r="C64" s="239"/>
      <c r="D64" s="239"/>
    </row>
    <row r="65" spans="2:4">
      <c r="B65" s="239"/>
      <c r="C65" s="239"/>
      <c r="D65" s="239"/>
    </row>
    <row r="66" spans="2:4">
      <c r="B66" s="239"/>
      <c r="C66" s="239"/>
      <c r="D66" s="239"/>
    </row>
    <row r="67" spans="2:4">
      <c r="B67" s="239"/>
      <c r="C67" s="239"/>
      <c r="D67" s="239"/>
    </row>
    <row r="68" spans="2:4">
      <c r="B68" s="239"/>
      <c r="C68" s="239"/>
      <c r="D68" s="239"/>
    </row>
    <row r="69" spans="2:4">
      <c r="B69" s="239"/>
      <c r="C69" s="239"/>
      <c r="D69" s="239"/>
    </row>
    <row r="70" spans="2:4">
      <c r="B70" s="239"/>
      <c r="C70" s="239"/>
      <c r="D70" s="239"/>
    </row>
    <row r="71" spans="2:4">
      <c r="B71" s="239"/>
      <c r="C71" s="239"/>
      <c r="D71" s="239"/>
    </row>
    <row r="72" spans="2:4">
      <c r="B72" s="239"/>
      <c r="C72" s="239"/>
      <c r="D72" s="239"/>
    </row>
    <row r="73" spans="2:4">
      <c r="B73" s="239"/>
      <c r="C73" s="239"/>
      <c r="D73" s="239"/>
    </row>
    <row r="74" spans="2:4">
      <c r="B74" s="239"/>
      <c r="C74" s="239"/>
      <c r="D74" s="239"/>
    </row>
    <row r="75" spans="2:4">
      <c r="B75" s="239"/>
      <c r="C75" s="239"/>
      <c r="D75" s="239"/>
    </row>
    <row r="76" spans="2:4">
      <c r="B76" s="239"/>
      <c r="C76" s="239"/>
      <c r="D76" s="239"/>
    </row>
    <row r="77" spans="2:4">
      <c r="B77" s="239"/>
      <c r="C77" s="239"/>
      <c r="D77" s="239"/>
    </row>
    <row r="78" spans="2:4">
      <c r="B78" s="239"/>
      <c r="C78" s="239"/>
      <c r="D78" s="239"/>
    </row>
    <row r="79" spans="2:4">
      <c r="B79" s="239"/>
      <c r="C79" s="239"/>
      <c r="D79" s="239"/>
    </row>
    <row r="80" spans="2:4">
      <c r="B80" s="239"/>
      <c r="C80" s="239"/>
      <c r="D80" s="239"/>
    </row>
    <row r="81" spans="2:4">
      <c r="B81" s="239"/>
      <c r="C81" s="239"/>
      <c r="D81" s="239"/>
    </row>
    <row r="82" spans="2:4">
      <c r="B82" s="239"/>
      <c r="C82" s="239"/>
      <c r="D82" s="239"/>
    </row>
    <row r="83" spans="2:4">
      <c r="B83" s="239"/>
      <c r="C83" s="239"/>
      <c r="D83" s="239"/>
    </row>
    <row r="84" spans="2:4">
      <c r="B84" s="239"/>
      <c r="C84" s="239"/>
      <c r="D84" s="239"/>
    </row>
    <row r="85" spans="2:4">
      <c r="B85" s="239"/>
      <c r="C85" s="239"/>
      <c r="D85" s="239"/>
    </row>
    <row r="86" spans="2:4">
      <c r="B86" s="239"/>
      <c r="C86" s="239"/>
      <c r="D86" s="239"/>
    </row>
  </sheetData>
  <mergeCells count="42">
    <mergeCell ref="A23:B23"/>
    <mergeCell ref="A35:B35"/>
    <mergeCell ref="A41:B41"/>
    <mergeCell ref="A43:B43"/>
    <mergeCell ref="A40:B40"/>
    <mergeCell ref="A42:B42"/>
    <mergeCell ref="A38:B38"/>
    <mergeCell ref="A37:B37"/>
    <mergeCell ref="A36:B36"/>
    <mergeCell ref="A28:B28"/>
    <mergeCell ref="A14:B14"/>
    <mergeCell ref="A15:B15"/>
    <mergeCell ref="A19:B19"/>
    <mergeCell ref="A11:B11"/>
    <mergeCell ref="A12:B12"/>
    <mergeCell ref="A18:B18"/>
    <mergeCell ref="A16:B16"/>
    <mergeCell ref="A17:B17"/>
    <mergeCell ref="A5:D5"/>
    <mergeCell ref="A8:B8"/>
    <mergeCell ref="A1:D1"/>
    <mergeCell ref="A7:B7"/>
    <mergeCell ref="A13:B13"/>
    <mergeCell ref="A3:D3"/>
    <mergeCell ref="A10:B10"/>
    <mergeCell ref="A9:B9"/>
    <mergeCell ref="A20:B20"/>
    <mergeCell ref="A25:B25"/>
    <mergeCell ref="A52:D52"/>
    <mergeCell ref="A46:D46"/>
    <mergeCell ref="A48:D48"/>
    <mergeCell ref="A50:D50"/>
    <mergeCell ref="A31:D31"/>
    <mergeCell ref="A33:B33"/>
    <mergeCell ref="A34:B34"/>
    <mergeCell ref="A39:B39"/>
    <mergeCell ref="A44:B44"/>
    <mergeCell ref="A27:B27"/>
    <mergeCell ref="A22:B22"/>
    <mergeCell ref="A21:B21"/>
    <mergeCell ref="A26:B26"/>
    <mergeCell ref="A24:B24"/>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Q34"/>
  <sheetViews>
    <sheetView zoomScaleNormal="100" workbookViewId="0">
      <selection sqref="A1:C1"/>
    </sheetView>
  </sheetViews>
  <sheetFormatPr defaultColWidth="8.6640625" defaultRowHeight="11.25"/>
  <cols>
    <col min="1" max="1" width="90" style="224" customWidth="1"/>
    <col min="2" max="3" width="20" style="229" customWidth="1"/>
    <col min="4" max="17" width="3.6640625" style="205" customWidth="1"/>
    <col min="18" max="16384" width="8.6640625" style="1151"/>
  </cols>
  <sheetData>
    <row r="1" spans="1:17" ht="15.75">
      <c r="A1" s="1244" t="s">
        <v>1520</v>
      </c>
      <c r="B1" s="1312"/>
      <c r="C1" s="1312"/>
    </row>
    <row r="2" spans="1:17" ht="11.25" customHeight="1">
      <c r="A2" s="332"/>
      <c r="B2" s="326"/>
      <c r="C2" s="326"/>
    </row>
    <row r="3" spans="1:17">
      <c r="A3" s="288" t="s">
        <v>700</v>
      </c>
      <c r="B3" s="551">
        <v>2019</v>
      </c>
      <c r="C3" s="340">
        <v>2018</v>
      </c>
    </row>
    <row r="4" spans="1:17">
      <c r="A4" s="405" t="s">
        <v>1098</v>
      </c>
      <c r="B4" s="545">
        <v>15</v>
      </c>
      <c r="C4" s="406">
        <v>32</v>
      </c>
    </row>
    <row r="5" spans="1:17">
      <c r="A5" s="404" t="s">
        <v>298</v>
      </c>
      <c r="B5" s="533">
        <v>8</v>
      </c>
      <c r="C5" s="399">
        <v>7</v>
      </c>
    </row>
    <row r="6" spans="1:17">
      <c r="A6" s="404" t="s">
        <v>430</v>
      </c>
      <c r="B6" s="533">
        <v>3</v>
      </c>
      <c r="C6" s="399">
        <v>3</v>
      </c>
    </row>
    <row r="7" spans="1:17">
      <c r="A7" s="653" t="s">
        <v>821</v>
      </c>
      <c r="B7" s="533">
        <v>2</v>
      </c>
      <c r="C7" s="399">
        <v>2</v>
      </c>
    </row>
    <row r="8" spans="1:17">
      <c r="A8" s="653" t="s">
        <v>1151</v>
      </c>
      <c r="B8" s="533">
        <v>1</v>
      </c>
      <c r="C8" s="399"/>
      <c r="D8" s="651"/>
      <c r="E8" s="651"/>
      <c r="F8" s="651"/>
      <c r="G8" s="651"/>
      <c r="H8" s="651"/>
      <c r="I8" s="651"/>
      <c r="J8" s="651"/>
      <c r="K8" s="651"/>
      <c r="L8" s="651"/>
      <c r="M8" s="651"/>
      <c r="N8" s="651"/>
      <c r="O8" s="651"/>
      <c r="P8" s="651"/>
      <c r="Q8" s="651"/>
    </row>
    <row r="9" spans="1:17">
      <c r="A9" s="404" t="s">
        <v>574</v>
      </c>
      <c r="B9" s="533">
        <v>2</v>
      </c>
      <c r="C9" s="399">
        <v>10</v>
      </c>
    </row>
    <row r="10" spans="1:17">
      <c r="A10" s="628" t="s">
        <v>917</v>
      </c>
      <c r="B10" s="533">
        <v>9</v>
      </c>
      <c r="C10" s="399">
        <v>4</v>
      </c>
    </row>
    <row r="11" spans="1:17">
      <c r="A11" s="654" t="s">
        <v>582</v>
      </c>
      <c r="B11" s="552">
        <v>27</v>
      </c>
      <c r="C11" s="407">
        <v>24</v>
      </c>
    </row>
    <row r="12" spans="1:17">
      <c r="A12" s="650" t="s">
        <v>641</v>
      </c>
      <c r="B12" s="537">
        <v>67</v>
      </c>
      <c r="C12" s="452">
        <v>80</v>
      </c>
    </row>
    <row r="13" spans="1:17">
      <c r="A13" s="219"/>
      <c r="B13" s="220"/>
      <c r="C13" s="220"/>
    </row>
    <row r="14" spans="1:17" ht="10.5" customHeight="1">
      <c r="A14" s="1313" t="s">
        <v>883</v>
      </c>
      <c r="B14" s="1314"/>
      <c r="C14" s="1314"/>
    </row>
    <row r="16" spans="1:17">
      <c r="A16" s="1246"/>
      <c r="B16" s="1246"/>
      <c r="C16" s="1246"/>
    </row>
    <row r="33" spans="1:5">
      <c r="E33" s="1082"/>
    </row>
    <row r="34" spans="1:5">
      <c r="A34" s="226"/>
    </row>
  </sheetData>
  <mergeCells count="3">
    <mergeCell ref="A1:C1"/>
    <mergeCell ref="A14:C14"/>
    <mergeCell ref="A16:C16"/>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Q18"/>
  <sheetViews>
    <sheetView zoomScaleNormal="100" workbookViewId="0">
      <selection sqref="A1:C1"/>
    </sheetView>
  </sheetViews>
  <sheetFormatPr defaultColWidth="8.6640625" defaultRowHeight="11.25"/>
  <cols>
    <col min="1" max="1" width="90" style="224" customWidth="1"/>
    <col min="2" max="3" width="20" style="229" customWidth="1"/>
    <col min="4" max="17" width="3.6640625" style="205" customWidth="1"/>
    <col min="18" max="16384" width="8.6640625" style="1151"/>
  </cols>
  <sheetData>
    <row r="1" spans="1:3" ht="15.75">
      <c r="A1" s="1244" t="s">
        <v>1521</v>
      </c>
      <c r="B1" s="1312"/>
      <c r="C1" s="1312"/>
    </row>
    <row r="2" spans="1:3" ht="11.25" customHeight="1">
      <c r="A2" s="332"/>
      <c r="B2" s="326"/>
      <c r="C2" s="437"/>
    </row>
    <row r="3" spans="1:3">
      <c r="A3" s="288" t="s">
        <v>700</v>
      </c>
      <c r="B3" s="550">
        <v>2019</v>
      </c>
      <c r="C3" s="291">
        <v>2018</v>
      </c>
    </row>
    <row r="4" spans="1:3">
      <c r="A4" s="405" t="s">
        <v>1071</v>
      </c>
      <c r="B4" s="545">
        <v>-1723</v>
      </c>
      <c r="C4" s="406">
        <v>-1598</v>
      </c>
    </row>
    <row r="5" spans="1:3">
      <c r="A5" s="404" t="s">
        <v>292</v>
      </c>
      <c r="B5" s="533">
        <v>7</v>
      </c>
      <c r="C5" s="399">
        <v>40</v>
      </c>
    </row>
    <row r="6" spans="1:3">
      <c r="A6" s="402" t="s">
        <v>293</v>
      </c>
      <c r="B6" s="549">
        <v>-1287</v>
      </c>
      <c r="C6" s="401">
        <v>-1294</v>
      </c>
    </row>
    <row r="7" spans="1:3">
      <c r="A7" s="453" t="s">
        <v>641</v>
      </c>
      <c r="B7" s="537">
        <v>-3003</v>
      </c>
      <c r="C7" s="452">
        <v>-2852</v>
      </c>
    </row>
    <row r="9" spans="1:3">
      <c r="A9" s="1246"/>
      <c r="B9" s="1246"/>
      <c r="C9" s="1246"/>
    </row>
    <row r="10" spans="1:3">
      <c r="B10" s="335"/>
    </row>
    <row r="17" spans="3:3">
      <c r="C17" s="335"/>
    </row>
    <row r="18" spans="3:3">
      <c r="C18" s="335"/>
    </row>
  </sheetData>
  <mergeCells count="2">
    <mergeCell ref="A1:C1"/>
    <mergeCell ref="A9:C9"/>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Q33"/>
  <sheetViews>
    <sheetView zoomScaleNormal="100" workbookViewId="0">
      <selection sqref="A1:D1"/>
    </sheetView>
  </sheetViews>
  <sheetFormatPr defaultColWidth="8.6640625" defaultRowHeight="11.25"/>
  <cols>
    <col min="1" max="1" width="2.5" style="224" customWidth="1"/>
    <col min="2" max="2" width="87.5" style="224" customWidth="1"/>
    <col min="3" max="4" width="20" style="229" customWidth="1"/>
    <col min="5" max="17" width="3.6640625" style="205" customWidth="1"/>
    <col min="18" max="16384" width="8.6640625" style="1151"/>
  </cols>
  <sheetData>
    <row r="1" spans="1:16" ht="15.75">
      <c r="A1" s="1322" t="s">
        <v>1522</v>
      </c>
      <c r="B1" s="1323"/>
      <c r="C1" s="1323"/>
      <c r="D1" s="1323"/>
    </row>
    <row r="2" spans="1:16" ht="11.25" customHeight="1">
      <c r="A2" s="413"/>
      <c r="B2" s="332"/>
      <c r="C2" s="326"/>
      <c r="D2" s="326"/>
    </row>
    <row r="3" spans="1:16">
      <c r="A3" s="1327" t="s">
        <v>700</v>
      </c>
      <c r="B3" s="1327"/>
      <c r="C3" s="550">
        <v>2019</v>
      </c>
      <c r="D3" s="291">
        <v>2018</v>
      </c>
    </row>
    <row r="4" spans="1:16">
      <c r="A4" s="1324" t="s">
        <v>658</v>
      </c>
      <c r="B4" s="1324"/>
      <c r="C4" s="535">
        <v>1028</v>
      </c>
      <c r="D4" s="400">
        <v>954</v>
      </c>
    </row>
    <row r="5" spans="1:16">
      <c r="A5" s="1324" t="s">
        <v>659</v>
      </c>
      <c r="B5" s="1324"/>
      <c r="C5" s="535"/>
      <c r="D5" s="398"/>
    </row>
    <row r="6" spans="1:16">
      <c r="A6" s="1242" t="s">
        <v>692</v>
      </c>
      <c r="B6" s="1242"/>
      <c r="C6" s="535">
        <v>12</v>
      </c>
      <c r="D6" s="622">
        <v>7</v>
      </c>
    </row>
    <row r="7" spans="1:16">
      <c r="A7" s="1242" t="s">
        <v>859</v>
      </c>
      <c r="B7" s="1242"/>
      <c r="C7" s="535">
        <v>74</v>
      </c>
      <c r="D7" s="428">
        <v>71</v>
      </c>
    </row>
    <row r="8" spans="1:16">
      <c r="A8" s="1325" t="s">
        <v>693</v>
      </c>
      <c r="B8" s="1325"/>
      <c r="C8" s="549">
        <v>146</v>
      </c>
      <c r="D8" s="623">
        <v>142</v>
      </c>
    </row>
    <row r="9" spans="1:16">
      <c r="A9" s="1326" t="s">
        <v>641</v>
      </c>
      <c r="B9" s="1326"/>
      <c r="C9" s="537">
        <v>1260</v>
      </c>
      <c r="D9" s="452">
        <v>1175</v>
      </c>
    </row>
    <row r="10" spans="1:16">
      <c r="A10" s="285"/>
      <c r="B10" s="285"/>
      <c r="C10" s="286"/>
      <c r="D10" s="286"/>
    </row>
    <row r="11" spans="1:16" ht="10.5" customHeight="1">
      <c r="A11" s="1318" t="s">
        <v>1558</v>
      </c>
      <c r="B11" s="1318"/>
      <c r="C11" s="1318"/>
      <c r="D11" s="1318"/>
    </row>
    <row r="12" spans="1:16" ht="10.5" customHeight="1">
      <c r="A12" s="219"/>
      <c r="B12" s="219"/>
      <c r="C12" s="219"/>
      <c r="D12" s="219"/>
    </row>
    <row r="13" spans="1:16" ht="10.5" customHeight="1">
      <c r="A13" s="1320" t="s">
        <v>1158</v>
      </c>
      <c r="B13" s="1320"/>
      <c r="C13" s="219"/>
      <c r="D13" s="219"/>
    </row>
    <row r="14" spans="1:16">
      <c r="A14" s="218"/>
      <c r="B14" s="219"/>
      <c r="C14" s="220"/>
      <c r="D14" s="220"/>
    </row>
    <row r="15" spans="1:16" ht="69.75" customHeight="1">
      <c r="A15" s="1317" t="s">
        <v>1737</v>
      </c>
      <c r="B15" s="1317"/>
      <c r="C15" s="1317"/>
      <c r="D15" s="1317"/>
    </row>
    <row r="16" spans="1:16">
      <c r="A16" s="806"/>
      <c r="B16" s="806"/>
      <c r="C16" s="220"/>
      <c r="D16" s="220"/>
      <c r="O16" s="235"/>
      <c r="P16" s="235"/>
    </row>
    <row r="17" spans="1:17" ht="57" customHeight="1">
      <c r="A17" s="1319" t="s">
        <v>1613</v>
      </c>
      <c r="B17" s="1319"/>
      <c r="C17" s="1319"/>
      <c r="D17" s="1319"/>
      <c r="O17" s="235"/>
      <c r="P17" s="235"/>
    </row>
    <row r="18" spans="1:17" ht="10.5" customHeight="1">
      <c r="A18" s="1099"/>
      <c r="B18" s="250"/>
      <c r="C18" s="250"/>
      <c r="E18" s="1100"/>
      <c r="F18" s="1100"/>
      <c r="G18" s="1100"/>
      <c r="H18" s="1100"/>
      <c r="I18" s="1100"/>
      <c r="J18" s="1100"/>
      <c r="K18" s="1100"/>
      <c r="L18" s="1100"/>
      <c r="M18" s="1100"/>
      <c r="N18" s="1100"/>
      <c r="O18" s="1100"/>
      <c r="P18" s="1100"/>
      <c r="Q18" s="1100"/>
    </row>
    <row r="19" spans="1:17" ht="33.75" customHeight="1">
      <c r="A19" s="1321" t="s">
        <v>1738</v>
      </c>
      <c r="B19" s="1321"/>
      <c r="C19" s="1321"/>
      <c r="D19" s="1321"/>
      <c r="E19" s="1100"/>
      <c r="F19" s="1100"/>
      <c r="G19" s="1100"/>
      <c r="H19" s="1100"/>
      <c r="I19" s="1100"/>
      <c r="J19" s="1100"/>
      <c r="K19" s="1100"/>
      <c r="L19" s="1100"/>
      <c r="M19" s="1100"/>
      <c r="N19" s="1100"/>
      <c r="O19" s="1100"/>
      <c r="P19" s="1100"/>
      <c r="Q19" s="1100"/>
    </row>
    <row r="20" spans="1:17" ht="11.25" customHeight="1">
      <c r="A20" s="412"/>
      <c r="B20" s="227"/>
      <c r="C20" s="411"/>
      <c r="D20" s="411"/>
      <c r="O20" s="235"/>
      <c r="P20" s="235"/>
    </row>
    <row r="21" spans="1:17">
      <c r="A21" s="408"/>
      <c r="B21" s="408"/>
      <c r="C21" s="550">
        <v>2019</v>
      </c>
      <c r="D21" s="291">
        <v>2018</v>
      </c>
    </row>
    <row r="22" spans="1:17">
      <c r="A22" s="1316" t="s">
        <v>660</v>
      </c>
      <c r="B22" s="1316"/>
      <c r="C22" s="535">
        <v>19110</v>
      </c>
      <c r="D22" s="400">
        <v>18899</v>
      </c>
    </row>
    <row r="23" spans="1:17">
      <c r="A23" s="1315" t="s">
        <v>1072</v>
      </c>
      <c r="B23" s="1315"/>
      <c r="C23" s="533">
        <v>18795</v>
      </c>
      <c r="D23" s="399">
        <v>19294</v>
      </c>
    </row>
    <row r="24" spans="1:17">
      <c r="A24" s="219"/>
      <c r="B24" s="250"/>
      <c r="C24" s="250"/>
    </row>
    <row r="25" spans="1:17">
      <c r="A25" s="1246"/>
      <c r="B25" s="1246"/>
      <c r="C25" s="1246"/>
      <c r="D25" s="1246"/>
    </row>
    <row r="33" spans="3:3">
      <c r="C33" s="335"/>
    </row>
  </sheetData>
  <mergeCells count="16">
    <mergeCell ref="A1:D1"/>
    <mergeCell ref="A5:B5"/>
    <mergeCell ref="A8:B8"/>
    <mergeCell ref="A9:B9"/>
    <mergeCell ref="A4:B4"/>
    <mergeCell ref="A3:B3"/>
    <mergeCell ref="A6:B6"/>
    <mergeCell ref="A7:B7"/>
    <mergeCell ref="A25:D25"/>
    <mergeCell ref="A23:B23"/>
    <mergeCell ref="A22:B22"/>
    <mergeCell ref="A15:D15"/>
    <mergeCell ref="A11:D11"/>
    <mergeCell ref="A17:D17"/>
    <mergeCell ref="A13:B13"/>
    <mergeCell ref="A19:D19"/>
  </mergeCells>
  <phoneticPr fontId="0" type="noConversion"/>
  <pageMargins left="0.75" right="0.75" top="1" bottom="1" header="0.5" footer="0.5"/>
  <pageSetup paperSize="9"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Q15"/>
  <sheetViews>
    <sheetView zoomScaleNormal="100" workbookViewId="0">
      <selection sqref="A1:C1"/>
    </sheetView>
  </sheetViews>
  <sheetFormatPr defaultColWidth="8.6640625" defaultRowHeight="12.75"/>
  <cols>
    <col min="1" max="1" width="90" style="224" customWidth="1"/>
    <col min="2" max="3" width="20" style="229" customWidth="1"/>
    <col min="4" max="17" width="3.6640625" style="338" customWidth="1"/>
    <col min="18" max="16384" width="8.6640625" style="1151"/>
  </cols>
  <sheetData>
    <row r="1" spans="1:3" ht="15.75">
      <c r="A1" s="1328" t="s">
        <v>1523</v>
      </c>
      <c r="B1" s="1329"/>
      <c r="C1" s="1329"/>
    </row>
    <row r="2" spans="1:3" ht="11.25" customHeight="1">
      <c r="A2"/>
      <c r="B2" s="410"/>
      <c r="C2" s="338"/>
    </row>
    <row r="3" spans="1:3" ht="11.25" customHeight="1">
      <c r="A3" s="288" t="s">
        <v>700</v>
      </c>
      <c r="B3" s="550">
        <v>2019</v>
      </c>
      <c r="C3" s="291">
        <v>2018</v>
      </c>
    </row>
    <row r="4" spans="1:3" ht="11.25" customHeight="1">
      <c r="A4" s="850" t="s">
        <v>1252</v>
      </c>
      <c r="B4" s="545">
        <v>11</v>
      </c>
      <c r="C4" s="406">
        <v>11</v>
      </c>
    </row>
    <row r="5" spans="1:3" ht="11.25" customHeight="1">
      <c r="A5" s="850" t="s">
        <v>1131</v>
      </c>
      <c r="B5" s="535">
        <v>41</v>
      </c>
      <c r="C5" s="400">
        <v>43</v>
      </c>
    </row>
    <row r="6" spans="1:3" ht="11.25" customHeight="1">
      <c r="A6" s="850" t="s">
        <v>716</v>
      </c>
      <c r="B6" s="535">
        <v>10</v>
      </c>
      <c r="C6" s="400">
        <v>12</v>
      </c>
    </row>
    <row r="7" spans="1:3" ht="11.25" customHeight="1">
      <c r="A7" s="409" t="s">
        <v>717</v>
      </c>
      <c r="B7" s="535">
        <v>13</v>
      </c>
      <c r="C7" s="400">
        <v>16</v>
      </c>
    </row>
    <row r="8" spans="1:3" ht="11.25" customHeight="1">
      <c r="A8" s="849" t="s">
        <v>1390</v>
      </c>
      <c r="B8" s="535">
        <v>43</v>
      </c>
      <c r="C8" s="400"/>
    </row>
    <row r="9" spans="1:3" ht="11.25" customHeight="1">
      <c r="A9" s="409" t="s">
        <v>718</v>
      </c>
      <c r="B9" s="535">
        <v>40</v>
      </c>
      <c r="C9" s="400">
        <v>43</v>
      </c>
    </row>
    <row r="10" spans="1:3" ht="11.25" customHeight="1">
      <c r="A10" s="849" t="s">
        <v>1392</v>
      </c>
      <c r="B10" s="535">
        <v>6</v>
      </c>
      <c r="C10" s="400"/>
    </row>
    <row r="11" spans="1:3" ht="11.25" customHeight="1">
      <c r="A11" s="409" t="s">
        <v>719</v>
      </c>
      <c r="B11" s="535">
        <v>1</v>
      </c>
      <c r="C11" s="400">
        <v>1</v>
      </c>
    </row>
    <row r="12" spans="1:3" ht="11.25" customHeight="1">
      <c r="A12" s="402" t="s">
        <v>673</v>
      </c>
      <c r="B12" s="549">
        <v>15</v>
      </c>
      <c r="C12" s="401">
        <v>3</v>
      </c>
    </row>
    <row r="13" spans="1:3" ht="11.25" customHeight="1">
      <c r="A13" s="453" t="s">
        <v>641</v>
      </c>
      <c r="B13" s="537">
        <v>180</v>
      </c>
      <c r="C13" s="452">
        <v>130</v>
      </c>
    </row>
    <row r="14" spans="1:3">
      <c r="A14" s="277"/>
      <c r="B14" s="317"/>
      <c r="C14" s="339"/>
    </row>
    <row r="15" spans="1:3">
      <c r="A15" s="1299"/>
      <c r="B15" s="1299"/>
      <c r="C15" s="1299"/>
    </row>
  </sheetData>
  <mergeCells count="2">
    <mergeCell ref="A1:C1"/>
    <mergeCell ref="A15:C15"/>
  </mergeCells>
  <phoneticPr fontId="0" type="noConversion"/>
  <pageMargins left="0.75" right="0.75" top="1" bottom="1" header="0.5" footer="0.5"/>
  <pageSetup scale="87" orientation="portrait" r:id="rId1"/>
  <headerFooter alignWithMargins="0"/>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dimension ref="A1:Q33"/>
  <sheetViews>
    <sheetView zoomScaleNormal="100" workbookViewId="0">
      <selection sqref="A1:C1"/>
    </sheetView>
  </sheetViews>
  <sheetFormatPr defaultColWidth="8.6640625" defaultRowHeight="11.25"/>
  <cols>
    <col min="1" max="1" width="90" style="679" customWidth="1"/>
    <col min="2" max="3" width="20" style="229" customWidth="1"/>
    <col min="4" max="17" width="3.6640625" style="683" customWidth="1"/>
    <col min="18" max="16384" width="8.6640625" style="1151"/>
  </cols>
  <sheetData>
    <row r="1" spans="1:17" ht="15.75">
      <c r="A1" s="1244" t="s">
        <v>1524</v>
      </c>
      <c r="B1" s="1312"/>
      <c r="C1" s="1312"/>
    </row>
    <row r="2" spans="1:17" ht="11.25" customHeight="1">
      <c r="A2" s="682"/>
      <c r="B2" s="326"/>
      <c r="C2" s="326"/>
    </row>
    <row r="3" spans="1:17">
      <c r="A3" s="681" t="s">
        <v>700</v>
      </c>
      <c r="B3" s="551">
        <v>2019</v>
      </c>
      <c r="C3" s="340">
        <v>2018</v>
      </c>
    </row>
    <row r="4" spans="1:17">
      <c r="A4" s="405" t="s">
        <v>1181</v>
      </c>
      <c r="B4" s="545">
        <v>134</v>
      </c>
      <c r="C4" s="406">
        <v>145</v>
      </c>
    </row>
    <row r="5" spans="1:17">
      <c r="A5" s="676" t="s">
        <v>1180</v>
      </c>
      <c r="B5" s="533">
        <v>48</v>
      </c>
      <c r="C5" s="399">
        <v>90</v>
      </c>
    </row>
    <row r="6" spans="1:17">
      <c r="A6" s="676" t="s">
        <v>1184</v>
      </c>
      <c r="B6" s="533">
        <v>95</v>
      </c>
      <c r="C6" s="399">
        <v>89</v>
      </c>
    </row>
    <row r="7" spans="1:17">
      <c r="A7" s="653" t="s">
        <v>1182</v>
      </c>
      <c r="B7" s="533">
        <v>65</v>
      </c>
      <c r="C7" s="399">
        <v>61</v>
      </c>
    </row>
    <row r="8" spans="1:17">
      <c r="A8" s="653" t="s">
        <v>1183</v>
      </c>
      <c r="B8" s="533">
        <v>59</v>
      </c>
      <c r="C8" s="399">
        <v>58</v>
      </c>
    </row>
    <row r="9" spans="1:17">
      <c r="A9" s="653" t="s">
        <v>1578</v>
      </c>
      <c r="B9" s="533">
        <v>49</v>
      </c>
      <c r="C9" s="399">
        <v>51</v>
      </c>
      <c r="D9" s="1104"/>
      <c r="E9" s="1104"/>
      <c r="F9" s="1104"/>
      <c r="G9" s="1104"/>
      <c r="H9" s="1104"/>
      <c r="I9" s="1104"/>
      <c r="J9" s="1104"/>
      <c r="K9" s="1104"/>
      <c r="L9" s="1104"/>
      <c r="M9" s="1104"/>
      <c r="N9" s="1104"/>
      <c r="O9" s="1104"/>
      <c r="P9" s="1104"/>
      <c r="Q9" s="1104"/>
    </row>
    <row r="10" spans="1:17">
      <c r="A10" s="678" t="s">
        <v>582</v>
      </c>
      <c r="B10" s="536">
        <v>128</v>
      </c>
      <c r="C10" s="433">
        <v>153</v>
      </c>
    </row>
    <row r="11" spans="1:17">
      <c r="A11" s="677" t="s">
        <v>641</v>
      </c>
      <c r="B11" s="537">
        <v>578</v>
      </c>
      <c r="C11" s="452">
        <v>648</v>
      </c>
    </row>
    <row r="12" spans="1:17">
      <c r="A12" s="680"/>
      <c r="B12" s="220"/>
      <c r="C12" s="220"/>
    </row>
    <row r="13" spans="1:17" ht="10.5" customHeight="1">
      <c r="A13" s="1313"/>
      <c r="B13" s="1330"/>
      <c r="C13" s="1330"/>
    </row>
    <row r="15" spans="1:17">
      <c r="A15" s="1246"/>
      <c r="B15" s="1246"/>
      <c r="C15" s="1246"/>
    </row>
    <row r="33" spans="1:1">
      <c r="A33" s="226"/>
    </row>
  </sheetData>
  <mergeCells count="3">
    <mergeCell ref="A1:C1"/>
    <mergeCell ref="A13:C13"/>
    <mergeCell ref="A15:C15"/>
  </mergeCells>
  <pageMargins left="0.75" right="0.75" top="1" bottom="1" header="0.5" footer="0.5"/>
  <pageSetup scale="87" orientation="portrait" horizontalDpi="300" r:id="rId1"/>
  <headerFooter alignWithMargins="0"/>
  <customProperties>
    <customPr name="SheetOptions"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5"/>
  <dimension ref="A1:Q36"/>
  <sheetViews>
    <sheetView zoomScaleNormal="100" workbookViewId="0">
      <selection sqref="A1:C1"/>
    </sheetView>
  </sheetViews>
  <sheetFormatPr defaultColWidth="8.6640625" defaultRowHeight="11.25"/>
  <cols>
    <col min="1" max="1" width="90" style="205" customWidth="1"/>
    <col min="2" max="3" width="20" style="205" customWidth="1"/>
    <col min="4" max="17" width="3.6640625" style="205" customWidth="1"/>
    <col min="18" max="16384" width="8.6640625" style="1151"/>
  </cols>
  <sheetData>
    <row r="1" spans="1:17" ht="15.75" customHeight="1">
      <c r="A1" s="1244" t="s">
        <v>1525</v>
      </c>
      <c r="B1" s="1329"/>
      <c r="C1" s="1329"/>
    </row>
    <row r="2" spans="1:17" ht="11.25" customHeight="1">
      <c r="A2" s="207"/>
      <c r="B2" s="331"/>
      <c r="C2" s="331"/>
    </row>
    <row r="3" spans="1:17" ht="11.25" customHeight="1">
      <c r="A3" s="288" t="s">
        <v>700</v>
      </c>
      <c r="B3" s="550">
        <v>2019</v>
      </c>
      <c r="C3" s="291">
        <v>2018</v>
      </c>
    </row>
    <row r="4" spans="1:17" ht="11.25" customHeight="1">
      <c r="A4" s="652" t="s">
        <v>889</v>
      </c>
      <c r="B4" s="535">
        <v>1</v>
      </c>
      <c r="C4" s="400">
        <v>2</v>
      </c>
    </row>
    <row r="5" spans="1:17" ht="11.25" customHeight="1">
      <c r="A5" s="416" t="s">
        <v>575</v>
      </c>
      <c r="B5" s="540">
        <v>23</v>
      </c>
      <c r="C5" s="400">
        <v>20</v>
      </c>
    </row>
    <row r="6" spans="1:17" ht="11.25" customHeight="1">
      <c r="A6" s="409" t="s">
        <v>1204</v>
      </c>
      <c r="B6" s="540">
        <v>2</v>
      </c>
      <c r="C6" s="400">
        <v>1</v>
      </c>
    </row>
    <row r="7" spans="1:17" ht="11.25" customHeight="1">
      <c r="A7" s="402" t="s">
        <v>793</v>
      </c>
      <c r="B7" s="536">
        <v>1</v>
      </c>
      <c r="C7" s="407">
        <v>1</v>
      </c>
    </row>
    <row r="8" spans="1:17" ht="11.25" customHeight="1">
      <c r="A8" s="417" t="s">
        <v>497</v>
      </c>
      <c r="B8" s="541">
        <v>27</v>
      </c>
      <c r="C8" s="415">
        <v>24</v>
      </c>
    </row>
    <row r="9" spans="1:17" ht="11.25" customHeight="1">
      <c r="A9" s="418"/>
      <c r="B9" s="553"/>
      <c r="C9" s="419"/>
    </row>
    <row r="10" spans="1:17" ht="11.25" customHeight="1">
      <c r="A10" s="416" t="s">
        <v>888</v>
      </c>
      <c r="B10" s="535">
        <v>-10</v>
      </c>
      <c r="C10" s="400">
        <v>-11</v>
      </c>
    </row>
    <row r="11" spans="1:17" ht="11.25" customHeight="1">
      <c r="A11" s="1087" t="s">
        <v>1664</v>
      </c>
      <c r="B11" s="540">
        <v>-5</v>
      </c>
      <c r="C11" s="442"/>
      <c r="D11" s="1091"/>
      <c r="E11" s="1091"/>
      <c r="F11" s="1091"/>
      <c r="G11" s="1091"/>
      <c r="H11" s="1091"/>
      <c r="I11" s="1091"/>
      <c r="J11" s="1091"/>
      <c r="K11" s="1091"/>
      <c r="L11" s="1091"/>
      <c r="M11" s="1091"/>
      <c r="N11" s="1091"/>
      <c r="O11" s="1091"/>
      <c r="P11" s="1091"/>
      <c r="Q11" s="1091"/>
    </row>
    <row r="12" spans="1:17" ht="11.25" customHeight="1">
      <c r="A12" s="416" t="s">
        <v>577</v>
      </c>
      <c r="B12" s="535">
        <v>-36</v>
      </c>
      <c r="C12" s="400">
        <v>-34</v>
      </c>
    </row>
    <row r="13" spans="1:17" ht="11.25" customHeight="1">
      <c r="A13" s="416" t="s">
        <v>963</v>
      </c>
      <c r="B13" s="535">
        <v>-3</v>
      </c>
      <c r="C13" s="400">
        <v>-3</v>
      </c>
    </row>
    <row r="14" spans="1:17" ht="11.25" customHeight="1">
      <c r="A14" s="416" t="s">
        <v>576</v>
      </c>
      <c r="B14" s="540">
        <v>-5</v>
      </c>
      <c r="C14" s="400">
        <v>-4</v>
      </c>
    </row>
    <row r="15" spans="1:17" ht="11.25" customHeight="1">
      <c r="A15" s="409" t="s">
        <v>1155</v>
      </c>
      <c r="B15" s="540"/>
      <c r="C15" s="400">
        <v>-1</v>
      </c>
    </row>
    <row r="16" spans="1:17" ht="11.25" customHeight="1">
      <c r="A16" s="673" t="s">
        <v>1159</v>
      </c>
      <c r="B16" s="540">
        <v>-10</v>
      </c>
      <c r="C16" s="400">
        <v>-6</v>
      </c>
    </row>
    <row r="17" spans="1:17" ht="11.25" customHeight="1">
      <c r="A17" s="699" t="s">
        <v>1205</v>
      </c>
      <c r="B17" s="540">
        <v>-2</v>
      </c>
      <c r="C17" s="442">
        <v>-2</v>
      </c>
      <c r="D17" s="698"/>
      <c r="E17" s="698"/>
      <c r="F17" s="698"/>
      <c r="G17" s="698"/>
      <c r="H17" s="698"/>
      <c r="I17" s="698"/>
      <c r="J17" s="698"/>
      <c r="K17" s="698"/>
      <c r="L17" s="698"/>
      <c r="M17" s="698"/>
      <c r="N17" s="698"/>
      <c r="O17" s="698"/>
      <c r="P17" s="698"/>
      <c r="Q17" s="698"/>
    </row>
    <row r="18" spans="1:17" ht="11.25" customHeight="1">
      <c r="A18" s="402" t="s">
        <v>335</v>
      </c>
      <c r="B18" s="549">
        <v>-4</v>
      </c>
      <c r="C18" s="407">
        <v>-4</v>
      </c>
    </row>
    <row r="19" spans="1:17" ht="11.25" customHeight="1">
      <c r="A19" s="417" t="s">
        <v>498</v>
      </c>
      <c r="B19" s="541">
        <v>-74</v>
      </c>
      <c r="C19" s="415">
        <v>-65</v>
      </c>
    </row>
    <row r="20" spans="1:17" ht="11.25" customHeight="1">
      <c r="A20" s="414"/>
      <c r="B20" s="554"/>
      <c r="C20" s="420"/>
    </row>
    <row r="21" spans="1:17" ht="11.25" customHeight="1">
      <c r="A21" s="453" t="s">
        <v>641</v>
      </c>
      <c r="B21" s="537">
        <v>-47</v>
      </c>
      <c r="C21" s="452">
        <v>-40</v>
      </c>
    </row>
    <row r="22" spans="1:17" ht="11.25" customHeight="1">
      <c r="A22" s="207"/>
      <c r="B22" s="207"/>
      <c r="C22" s="207"/>
    </row>
    <row r="23" spans="1:17" ht="22.5" customHeight="1">
      <c r="A23" s="1331" t="s">
        <v>1611</v>
      </c>
      <c r="B23" s="1331"/>
      <c r="C23" s="1331"/>
    </row>
    <row r="24" spans="1:17" ht="11.25" customHeight="1"/>
    <row r="25" spans="1:17">
      <c r="A25" s="1216"/>
      <c r="B25" s="1216"/>
      <c r="C25" s="1216"/>
    </row>
    <row r="36" spans="12:12">
      <c r="L36" s="235"/>
    </row>
  </sheetData>
  <mergeCells count="3">
    <mergeCell ref="A1:C1"/>
    <mergeCell ref="A23:C23"/>
    <mergeCell ref="A25:C25"/>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81427-04DE-4AA7-9B81-BCCBE3EA4C2E}">
  <sheetPr codeName="Sheet42"/>
  <dimension ref="A1:P58"/>
  <sheetViews>
    <sheetView zoomScaleNormal="100" workbookViewId="0">
      <selection sqref="A1:K1"/>
    </sheetView>
  </sheetViews>
  <sheetFormatPr defaultColWidth="9.33203125" defaultRowHeight="15"/>
  <cols>
    <col min="1" max="1" width="3.33203125" style="829" customWidth="1"/>
    <col min="2" max="2" width="44.1640625" style="829" customWidth="1"/>
    <col min="3" max="11" width="9.1640625" style="829" customWidth="1"/>
    <col min="12" max="17" width="3.6640625" style="829" customWidth="1"/>
    <col min="18" max="16384" width="9.33203125" style="829"/>
  </cols>
  <sheetData>
    <row r="1" spans="1:16" ht="15.75">
      <c r="A1" s="1244" t="s">
        <v>1147</v>
      </c>
      <c r="B1" s="1244"/>
      <c r="C1" s="1244"/>
      <c r="D1" s="1244"/>
      <c r="E1" s="1244"/>
      <c r="F1" s="1244"/>
      <c r="G1" s="1244"/>
      <c r="H1" s="1244"/>
      <c r="I1" s="1244"/>
      <c r="J1" s="1244"/>
      <c r="K1" s="1244"/>
    </row>
    <row r="2" spans="1:16" ht="11.25" customHeight="1">
      <c r="A2" s="830"/>
      <c r="B2" s="831"/>
      <c r="C2" s="832"/>
      <c r="D2" s="832"/>
      <c r="E2" s="832"/>
      <c r="I2" s="832"/>
      <c r="J2" s="832"/>
      <c r="K2" s="832"/>
    </row>
    <row r="3" spans="1:16" ht="11.25" customHeight="1">
      <c r="A3" s="427"/>
      <c r="B3" s="1144"/>
      <c r="C3" s="1145"/>
      <c r="D3" s="1145"/>
      <c r="E3" s="1143"/>
      <c r="F3" s="1146"/>
      <c r="G3" s="1146"/>
      <c r="H3" s="1146"/>
      <c r="I3" s="1143"/>
      <c r="J3" s="1143"/>
      <c r="K3" s="1143" t="s">
        <v>995</v>
      </c>
    </row>
    <row r="4" spans="1:16" ht="22.5" customHeight="1">
      <c r="A4" s="1245" t="s">
        <v>700</v>
      </c>
      <c r="B4" s="1245"/>
      <c r="C4" s="942" t="s">
        <v>1397</v>
      </c>
      <c r="D4" s="942" t="s">
        <v>1398</v>
      </c>
      <c r="E4" s="942" t="s">
        <v>1399</v>
      </c>
      <c r="F4" s="942" t="s">
        <v>1400</v>
      </c>
      <c r="G4" s="941" t="s">
        <v>1260</v>
      </c>
      <c r="H4" s="941" t="s">
        <v>1261</v>
      </c>
      <c r="I4" s="941" t="s">
        <v>1262</v>
      </c>
      <c r="J4" s="941" t="s">
        <v>1263</v>
      </c>
      <c r="K4" s="941" t="s">
        <v>1601</v>
      </c>
      <c r="P4" s="833"/>
    </row>
    <row r="5" spans="1:16" ht="11.25" customHeight="1">
      <c r="A5" s="1241" t="s">
        <v>1148</v>
      </c>
      <c r="B5" s="1241"/>
      <c r="C5" s="715"/>
      <c r="D5" s="715"/>
      <c r="E5" s="715"/>
      <c r="F5" s="715"/>
      <c r="G5" s="442"/>
      <c r="H5" s="442"/>
      <c r="I5" s="442"/>
      <c r="J5" s="442"/>
      <c r="K5" s="442"/>
      <c r="P5" s="833"/>
    </row>
    <row r="6" spans="1:16" ht="11.25" customHeight="1">
      <c r="A6" s="1242" t="s">
        <v>1401</v>
      </c>
      <c r="B6" s="1242"/>
      <c r="C6" s="540">
        <v>951</v>
      </c>
      <c r="D6" s="540">
        <v>705</v>
      </c>
      <c r="E6" s="540">
        <v>936</v>
      </c>
      <c r="F6" s="540">
        <v>922</v>
      </c>
      <c r="G6" s="442">
        <v>1031</v>
      </c>
      <c r="H6" s="442">
        <v>1009</v>
      </c>
      <c r="I6" s="442">
        <v>1027</v>
      </c>
      <c r="J6" s="442">
        <v>877</v>
      </c>
      <c r="K6" s="442"/>
      <c r="M6" s="834"/>
      <c r="N6" s="834"/>
      <c r="O6" s="834"/>
    </row>
    <row r="7" spans="1:16" ht="11.25" customHeight="1">
      <c r="A7" s="1243" t="s">
        <v>1402</v>
      </c>
      <c r="B7" s="1243"/>
      <c r="C7" s="536">
        <v>604</v>
      </c>
      <c r="D7" s="536">
        <v>274</v>
      </c>
      <c r="E7" s="536">
        <v>441</v>
      </c>
      <c r="F7" s="536">
        <v>494</v>
      </c>
      <c r="G7" s="433">
        <v>843</v>
      </c>
      <c r="H7" s="433">
        <v>363</v>
      </c>
      <c r="I7" s="433">
        <v>526</v>
      </c>
      <c r="J7" s="433">
        <v>630</v>
      </c>
      <c r="K7" s="433"/>
      <c r="M7" s="834"/>
      <c r="N7" s="834"/>
      <c r="O7" s="834"/>
    </row>
    <row r="8" spans="1:16" ht="11.25" customHeight="1">
      <c r="A8" s="1241" t="s">
        <v>641</v>
      </c>
      <c r="B8" s="1241"/>
      <c r="C8" s="540">
        <v>1555</v>
      </c>
      <c r="D8" s="540">
        <v>979</v>
      </c>
      <c r="E8" s="540">
        <v>1377</v>
      </c>
      <c r="F8" s="540">
        <v>1416</v>
      </c>
      <c r="G8" s="442">
        <v>1874</v>
      </c>
      <c r="H8" s="442">
        <v>1372</v>
      </c>
      <c r="I8" s="442">
        <v>1553</v>
      </c>
      <c r="J8" s="442">
        <v>1507</v>
      </c>
      <c r="K8" s="442">
        <v>1514</v>
      </c>
      <c r="M8" s="834"/>
      <c r="N8" s="834"/>
      <c r="O8" s="834"/>
    </row>
    <row r="9" spans="1:16" ht="11.25" customHeight="1">
      <c r="A9" s="1001"/>
      <c r="B9" s="1001"/>
      <c r="C9" s="572"/>
      <c r="D9" s="540"/>
      <c r="E9" s="540"/>
      <c r="F9" s="540"/>
      <c r="G9" s="442"/>
      <c r="H9" s="442"/>
      <c r="I9" s="442"/>
      <c r="J9" s="442"/>
      <c r="K9" s="442"/>
      <c r="M9" s="834"/>
      <c r="N9" s="834"/>
      <c r="O9" s="834"/>
    </row>
    <row r="10" spans="1:16" ht="11.25" customHeight="1">
      <c r="A10" s="1241" t="s">
        <v>1560</v>
      </c>
      <c r="B10" s="1241"/>
      <c r="C10" s="572"/>
      <c r="D10" s="540"/>
      <c r="E10" s="540"/>
      <c r="F10" s="540"/>
      <c r="G10" s="442"/>
      <c r="H10" s="442"/>
      <c r="I10" s="442"/>
      <c r="J10" s="442"/>
      <c r="K10" s="442"/>
      <c r="M10" s="834"/>
      <c r="N10" s="834"/>
      <c r="O10" s="834"/>
    </row>
    <row r="11" spans="1:16" ht="11.25" customHeight="1">
      <c r="A11" s="1242" t="s">
        <v>1401</v>
      </c>
      <c r="B11" s="1242"/>
      <c r="C11" s="540">
        <v>3799</v>
      </c>
      <c r="D11" s="540">
        <v>3895</v>
      </c>
      <c r="E11" s="540">
        <v>3974</v>
      </c>
      <c r="F11" s="540">
        <v>3861</v>
      </c>
      <c r="G11" s="442">
        <v>3651</v>
      </c>
      <c r="H11" s="442">
        <v>3536</v>
      </c>
      <c r="I11" s="442">
        <v>3244</v>
      </c>
      <c r="J11" s="442">
        <v>2818</v>
      </c>
      <c r="K11" s="442"/>
      <c r="M11" s="834"/>
      <c r="N11" s="834"/>
      <c r="O11" s="834"/>
    </row>
    <row r="12" spans="1:16" ht="11.25" customHeight="1">
      <c r="A12" s="1243" t="s">
        <v>1402</v>
      </c>
      <c r="B12" s="1243"/>
      <c r="C12" s="536">
        <v>2079</v>
      </c>
      <c r="D12" s="536">
        <v>2399</v>
      </c>
      <c r="E12" s="536">
        <v>2496</v>
      </c>
      <c r="F12" s="536">
        <v>2469</v>
      </c>
      <c r="G12" s="433">
        <v>2515</v>
      </c>
      <c r="H12" s="433">
        <v>2382</v>
      </c>
      <c r="I12" s="433">
        <v>2660</v>
      </c>
      <c r="J12" s="433">
        <v>2672</v>
      </c>
      <c r="K12" s="433"/>
      <c r="M12" s="834"/>
      <c r="N12" s="834"/>
      <c r="O12" s="834"/>
    </row>
    <row r="13" spans="1:16" ht="11.25" customHeight="1">
      <c r="A13" s="1241" t="s">
        <v>641</v>
      </c>
      <c r="B13" s="1241"/>
      <c r="C13" s="540">
        <v>5878</v>
      </c>
      <c r="D13" s="540">
        <v>6294</v>
      </c>
      <c r="E13" s="540">
        <v>6470</v>
      </c>
      <c r="F13" s="540">
        <v>6330</v>
      </c>
      <c r="G13" s="442">
        <v>6166</v>
      </c>
      <c r="H13" s="442">
        <v>5918</v>
      </c>
      <c r="I13" s="442">
        <v>5904</v>
      </c>
      <c r="J13" s="442">
        <v>5490</v>
      </c>
      <c r="K13" s="442">
        <v>5100</v>
      </c>
      <c r="M13" s="834"/>
      <c r="N13" s="834"/>
      <c r="O13" s="834"/>
    </row>
    <row r="14" spans="1:16" ht="11.25" customHeight="1">
      <c r="A14" s="1223"/>
      <c r="B14" s="1223"/>
      <c r="C14" s="572"/>
      <c r="D14" s="540"/>
      <c r="E14" s="540"/>
      <c r="F14" s="540"/>
      <c r="G14" s="442"/>
      <c r="H14" s="442"/>
      <c r="I14" s="442"/>
      <c r="J14" s="442"/>
      <c r="K14" s="442"/>
      <c r="M14" s="834"/>
      <c r="N14" s="834"/>
      <c r="O14" s="834"/>
    </row>
    <row r="15" spans="1:16" ht="11.25" customHeight="1">
      <c r="A15" s="1241" t="s">
        <v>501</v>
      </c>
      <c r="B15" s="1241"/>
      <c r="C15" s="572"/>
      <c r="D15" s="540"/>
      <c r="E15" s="540"/>
      <c r="F15" s="540"/>
      <c r="G15" s="442"/>
      <c r="H15" s="442"/>
      <c r="I15" s="442"/>
      <c r="J15" s="442"/>
      <c r="K15" s="442"/>
      <c r="M15" s="834"/>
      <c r="N15" s="834"/>
      <c r="O15" s="834"/>
    </row>
    <row r="16" spans="1:16" ht="11.25" customHeight="1">
      <c r="A16" s="1242" t="s">
        <v>1401</v>
      </c>
      <c r="B16" s="1242"/>
      <c r="C16" s="540">
        <v>1020</v>
      </c>
      <c r="D16" s="540">
        <v>776</v>
      </c>
      <c r="E16" s="540">
        <v>801</v>
      </c>
      <c r="F16" s="540">
        <v>733</v>
      </c>
      <c r="G16" s="442">
        <v>831</v>
      </c>
      <c r="H16" s="442">
        <v>680</v>
      </c>
      <c r="I16" s="442">
        <v>685</v>
      </c>
      <c r="J16" s="442">
        <v>619</v>
      </c>
      <c r="K16" s="442"/>
      <c r="M16" s="834"/>
      <c r="N16" s="834"/>
      <c r="O16" s="834"/>
    </row>
    <row r="17" spans="1:15" ht="11.25" customHeight="1">
      <c r="A17" s="1243" t="s">
        <v>1402</v>
      </c>
      <c r="B17" s="1243"/>
      <c r="C17" s="536">
        <v>664</v>
      </c>
      <c r="D17" s="536">
        <v>342</v>
      </c>
      <c r="E17" s="536">
        <v>416</v>
      </c>
      <c r="F17" s="536">
        <v>418</v>
      </c>
      <c r="G17" s="433">
        <v>701</v>
      </c>
      <c r="H17" s="433">
        <v>650</v>
      </c>
      <c r="I17" s="433">
        <v>561</v>
      </c>
      <c r="J17" s="433">
        <v>447</v>
      </c>
      <c r="K17" s="433"/>
      <c r="M17" s="834"/>
      <c r="N17" s="834"/>
      <c r="O17" s="834"/>
    </row>
    <row r="18" spans="1:15" ht="11.25" customHeight="1">
      <c r="A18" s="1233" t="s">
        <v>641</v>
      </c>
      <c r="B18" s="1233"/>
      <c r="C18" s="540">
        <v>1684</v>
      </c>
      <c r="D18" s="540">
        <v>1118</v>
      </c>
      <c r="E18" s="540">
        <v>1217</v>
      </c>
      <c r="F18" s="540">
        <v>1151</v>
      </c>
      <c r="G18" s="442">
        <v>1532</v>
      </c>
      <c r="H18" s="442">
        <v>1330</v>
      </c>
      <c r="I18" s="442">
        <v>1246</v>
      </c>
      <c r="J18" s="442">
        <v>1066</v>
      </c>
      <c r="K18" s="442">
        <v>1441</v>
      </c>
      <c r="M18" s="834"/>
      <c r="N18" s="834"/>
      <c r="O18" s="834"/>
    </row>
    <row r="19" spans="1:15" ht="11.25" customHeight="1">
      <c r="A19" s="940"/>
      <c r="B19" s="1001"/>
      <c r="C19" s="540"/>
      <c r="D19" s="543"/>
      <c r="E19" s="543"/>
      <c r="F19" s="543"/>
      <c r="G19" s="439"/>
      <c r="H19" s="439"/>
      <c r="I19" s="439"/>
      <c r="J19" s="439"/>
      <c r="K19" s="439"/>
      <c r="M19" s="834"/>
      <c r="N19" s="834"/>
      <c r="O19" s="834"/>
    </row>
    <row r="20" spans="1:15" ht="11.25" customHeight="1">
      <c r="A20" s="1223" t="s">
        <v>30</v>
      </c>
      <c r="B20" s="1223"/>
      <c r="C20" s="540">
        <v>-2</v>
      </c>
      <c r="D20" s="540">
        <v>-6</v>
      </c>
      <c r="E20" s="540">
        <v>-1</v>
      </c>
      <c r="F20" s="540"/>
      <c r="G20" s="442">
        <v>3</v>
      </c>
      <c r="H20" s="442">
        <v>3</v>
      </c>
      <c r="I20" s="442">
        <v>4</v>
      </c>
      <c r="J20" s="442">
        <v>3</v>
      </c>
      <c r="K20" s="442">
        <v>6</v>
      </c>
      <c r="M20" s="834"/>
      <c r="N20" s="834"/>
      <c r="O20" s="834"/>
    </row>
    <row r="21" spans="1:15" ht="11.25" customHeight="1">
      <c r="A21" s="940"/>
      <c r="B21" s="1001"/>
      <c r="C21" s="572"/>
      <c r="D21" s="543"/>
      <c r="E21" s="543"/>
      <c r="F21" s="543"/>
      <c r="G21" s="439"/>
      <c r="H21" s="439"/>
      <c r="I21" s="439"/>
      <c r="J21" s="439"/>
      <c r="K21" s="439"/>
      <c r="M21" s="834"/>
      <c r="N21" s="834"/>
      <c r="O21" s="834"/>
    </row>
    <row r="22" spans="1:15" ht="11.25" customHeight="1">
      <c r="A22" s="1237" t="s">
        <v>1124</v>
      </c>
      <c r="B22" s="1237"/>
      <c r="C22" s="540">
        <v>213</v>
      </c>
      <c r="D22" s="540">
        <v>49</v>
      </c>
      <c r="E22" s="540">
        <v>123</v>
      </c>
      <c r="F22" s="540">
        <v>113</v>
      </c>
      <c r="G22" s="442">
        <v>237</v>
      </c>
      <c r="H22" s="442">
        <v>152</v>
      </c>
      <c r="I22" s="442">
        <v>134</v>
      </c>
      <c r="J22" s="442">
        <v>98</v>
      </c>
      <c r="K22" s="442">
        <v>250</v>
      </c>
      <c r="M22" s="834"/>
      <c r="N22" s="834"/>
      <c r="O22" s="834"/>
    </row>
    <row r="23" spans="1:15" ht="11.25" customHeight="1">
      <c r="A23" s="1242" t="s">
        <v>830</v>
      </c>
      <c r="B23" s="1242"/>
      <c r="C23" s="591">
        <v>12.6</v>
      </c>
      <c r="D23" s="591">
        <v>4.4000000000000004</v>
      </c>
      <c r="E23" s="591">
        <v>10.1</v>
      </c>
      <c r="F23" s="591">
        <v>9.8000000000000007</v>
      </c>
      <c r="G23" s="517">
        <v>15.4</v>
      </c>
      <c r="H23" s="517">
        <v>11.5</v>
      </c>
      <c r="I23" s="517">
        <v>10.7</v>
      </c>
      <c r="J23" s="517">
        <v>9.1999999999999993</v>
      </c>
      <c r="K23" s="517">
        <v>17.399999999999999</v>
      </c>
      <c r="M23" s="834"/>
      <c r="N23" s="834"/>
      <c r="O23" s="834"/>
    </row>
    <row r="24" spans="1:15" ht="11.25" customHeight="1">
      <c r="A24" s="940"/>
      <c r="B24" s="1001"/>
      <c r="C24" s="572"/>
      <c r="D24" s="540"/>
      <c r="E24" s="540"/>
      <c r="F24" s="540"/>
      <c r="G24" s="442"/>
      <c r="H24" s="442"/>
      <c r="I24" s="442"/>
      <c r="J24" s="442"/>
      <c r="K24" s="442"/>
      <c r="M24" s="834"/>
      <c r="N24" s="834"/>
      <c r="O24" s="834"/>
    </row>
    <row r="25" spans="1:15" ht="11.25" customHeight="1">
      <c r="A25" s="1223" t="s">
        <v>412</v>
      </c>
      <c r="B25" s="1223"/>
      <c r="C25" s="540">
        <v>-39</v>
      </c>
      <c r="D25" s="1003">
        <v>-58</v>
      </c>
      <c r="E25" s="1003">
        <v>-42</v>
      </c>
      <c r="F25" s="1003">
        <v>-41</v>
      </c>
      <c r="G25" s="1004">
        <v>-37</v>
      </c>
      <c r="H25" s="1004">
        <v>-31</v>
      </c>
      <c r="I25" s="1004">
        <v>-31</v>
      </c>
      <c r="J25" s="1004">
        <v>-30</v>
      </c>
      <c r="K25" s="1004">
        <v>-42</v>
      </c>
      <c r="M25" s="834"/>
      <c r="N25" s="834"/>
      <c r="O25" s="834"/>
    </row>
    <row r="26" spans="1:15" ht="11.25" customHeight="1">
      <c r="A26" s="1242" t="s">
        <v>1131</v>
      </c>
      <c r="B26" s="1242"/>
      <c r="C26" s="540">
        <v>-10</v>
      </c>
      <c r="D26" s="1003">
        <v>-10</v>
      </c>
      <c r="E26" s="1003">
        <v>-10</v>
      </c>
      <c r="F26" s="1003">
        <v>-11</v>
      </c>
      <c r="G26" s="1004">
        <v>-11</v>
      </c>
      <c r="H26" s="1004">
        <v>-11</v>
      </c>
      <c r="I26" s="1004">
        <v>-11</v>
      </c>
      <c r="J26" s="1004">
        <v>-10</v>
      </c>
      <c r="K26" s="1004">
        <v>-10</v>
      </c>
      <c r="M26" s="834"/>
      <c r="N26" s="834"/>
      <c r="O26" s="834"/>
    </row>
    <row r="27" spans="1:15" ht="11.25" customHeight="1">
      <c r="A27" s="1000"/>
      <c r="B27" s="1000"/>
      <c r="C27" s="572"/>
      <c r="D27" s="543"/>
      <c r="E27" s="543"/>
      <c r="F27" s="543"/>
      <c r="G27" s="439"/>
      <c r="H27" s="439"/>
      <c r="I27" s="439"/>
      <c r="J27" s="439"/>
      <c r="K27" s="439"/>
      <c r="M27" s="834"/>
      <c r="N27" s="834"/>
      <c r="O27" s="834"/>
    </row>
    <row r="28" spans="1:15" ht="11.25" customHeight="1">
      <c r="A28" s="1237" t="s">
        <v>1125</v>
      </c>
      <c r="B28" s="1237"/>
      <c r="C28" s="540">
        <v>202</v>
      </c>
      <c r="D28" s="540">
        <v>39</v>
      </c>
      <c r="E28" s="540">
        <v>113</v>
      </c>
      <c r="F28" s="540">
        <v>102</v>
      </c>
      <c r="G28" s="442">
        <v>226</v>
      </c>
      <c r="H28" s="442">
        <v>141</v>
      </c>
      <c r="I28" s="442">
        <v>123</v>
      </c>
      <c r="J28" s="442">
        <v>88</v>
      </c>
      <c r="K28" s="442">
        <v>241</v>
      </c>
      <c r="M28" s="835"/>
      <c r="N28" s="835"/>
      <c r="O28" s="835"/>
    </row>
    <row r="29" spans="1:15" ht="11.25" customHeight="1">
      <c r="A29" s="1242" t="s">
        <v>830</v>
      </c>
      <c r="B29" s="1242"/>
      <c r="C29" s="591">
        <v>12</v>
      </c>
      <c r="D29" s="1005">
        <v>3.5</v>
      </c>
      <c r="E29" s="1005">
        <v>9.3000000000000007</v>
      </c>
      <c r="F29" s="1005">
        <v>8.9</v>
      </c>
      <c r="G29" s="1006">
        <v>14.7</v>
      </c>
      <c r="H29" s="1006">
        <v>10.6</v>
      </c>
      <c r="I29" s="1006">
        <v>9.8000000000000007</v>
      </c>
      <c r="J29" s="1006">
        <v>8.3000000000000007</v>
      </c>
      <c r="K29" s="1006">
        <v>16.7</v>
      </c>
    </row>
    <row r="30" spans="1:15" ht="11.25" customHeight="1">
      <c r="A30" s="1237"/>
      <c r="B30" s="1237"/>
      <c r="C30" s="572"/>
      <c r="D30" s="572"/>
      <c r="E30" s="572"/>
      <c r="F30" s="572"/>
      <c r="G30" s="477"/>
      <c r="H30" s="477"/>
      <c r="I30" s="477"/>
      <c r="J30" s="477"/>
      <c r="K30" s="477"/>
    </row>
    <row r="31" spans="1:15" ht="11.25" customHeight="1">
      <c r="A31" s="1237" t="s">
        <v>1133</v>
      </c>
      <c r="B31" s="1237"/>
      <c r="C31" s="963">
        <v>-39</v>
      </c>
      <c r="D31" s="963">
        <v>-28</v>
      </c>
      <c r="E31" s="963">
        <v>-17</v>
      </c>
      <c r="F31" s="963">
        <v>-11</v>
      </c>
      <c r="G31" s="1008">
        <v>-20</v>
      </c>
      <c r="H31" s="1008"/>
      <c r="I31" s="1008">
        <v>-12</v>
      </c>
      <c r="J31" s="1008">
        <v>-3</v>
      </c>
      <c r="K31" s="1008">
        <v>-19</v>
      </c>
    </row>
    <row r="32" spans="1:15" ht="11.25" customHeight="1">
      <c r="A32" s="940"/>
      <c r="B32" s="940"/>
      <c r="C32" s="1007"/>
      <c r="D32" s="1009"/>
      <c r="E32" s="1009"/>
      <c r="F32" s="1009"/>
      <c r="G32" s="1010"/>
      <c r="H32" s="1010"/>
      <c r="I32" s="1010"/>
      <c r="J32" s="1010"/>
      <c r="K32" s="1010"/>
    </row>
    <row r="33" spans="1:11" ht="11.25" customHeight="1">
      <c r="A33" s="1237" t="s">
        <v>191</v>
      </c>
      <c r="B33" s="1237"/>
      <c r="C33" s="540">
        <v>164</v>
      </c>
      <c r="D33" s="1011">
        <v>11</v>
      </c>
      <c r="E33" s="1011">
        <v>96</v>
      </c>
      <c r="F33" s="1011">
        <v>91</v>
      </c>
      <c r="G33" s="1012">
        <v>206</v>
      </c>
      <c r="H33" s="1012">
        <v>141</v>
      </c>
      <c r="I33" s="1008">
        <v>111</v>
      </c>
      <c r="J33" s="1008">
        <v>85</v>
      </c>
      <c r="K33" s="1008">
        <v>222</v>
      </c>
    </row>
    <row r="34" spans="1:11" ht="11.25" customHeight="1">
      <c r="A34" s="1242" t="s">
        <v>830</v>
      </c>
      <c r="B34" s="1242"/>
      <c r="C34" s="591">
        <v>9.6999999999999993</v>
      </c>
      <c r="D34" s="1005">
        <v>1</v>
      </c>
      <c r="E34" s="1005">
        <v>7.9</v>
      </c>
      <c r="F34" s="1005">
        <v>7.9</v>
      </c>
      <c r="G34" s="1006">
        <v>13.4</v>
      </c>
      <c r="H34" s="1006">
        <v>10.6</v>
      </c>
      <c r="I34" s="1006">
        <v>8.9</v>
      </c>
      <c r="J34" s="1006">
        <v>8</v>
      </c>
      <c r="K34" s="1006">
        <v>15.4</v>
      </c>
    </row>
    <row r="35" spans="1:11" ht="11.25" customHeight="1">
      <c r="A35" s="940"/>
      <c r="B35" s="940"/>
      <c r="C35" s="1007"/>
      <c r="D35" s="572"/>
      <c r="E35" s="572"/>
      <c r="F35" s="572"/>
      <c r="G35" s="477"/>
      <c r="H35" s="1010"/>
      <c r="I35" s="1013"/>
      <c r="J35" s="1010"/>
      <c r="K35" s="1010"/>
    </row>
    <row r="36" spans="1:11" ht="11.25" customHeight="1">
      <c r="A36" s="1240" t="s">
        <v>187</v>
      </c>
      <c r="B36" s="1240"/>
      <c r="C36" s="963">
        <v>-11</v>
      </c>
      <c r="D36" s="963">
        <v>-11</v>
      </c>
      <c r="E36" s="963">
        <v>-13</v>
      </c>
      <c r="F36" s="963">
        <v>-13</v>
      </c>
      <c r="G36" s="1008">
        <v>-12</v>
      </c>
      <c r="H36" s="1008">
        <v>-11</v>
      </c>
      <c r="I36" s="1008">
        <v>-8</v>
      </c>
      <c r="J36" s="1008">
        <v>-9</v>
      </c>
      <c r="K36" s="1008">
        <v>-10</v>
      </c>
    </row>
    <row r="37" spans="1:11" ht="11.25" customHeight="1">
      <c r="A37" s="1237" t="s">
        <v>636</v>
      </c>
      <c r="B37" s="1237"/>
      <c r="C37" s="963">
        <v>153</v>
      </c>
      <c r="D37" s="963"/>
      <c r="E37" s="963">
        <v>83</v>
      </c>
      <c r="F37" s="963">
        <v>78</v>
      </c>
      <c r="G37" s="1008">
        <v>194</v>
      </c>
      <c r="H37" s="1008">
        <v>130</v>
      </c>
      <c r="I37" s="1008">
        <v>102</v>
      </c>
      <c r="J37" s="1008">
        <v>76</v>
      </c>
      <c r="K37" s="1008">
        <v>211</v>
      </c>
    </row>
    <row r="38" spans="1:11" ht="11.25" customHeight="1">
      <c r="A38" s="1237" t="s">
        <v>562</v>
      </c>
      <c r="B38" s="1237"/>
      <c r="C38" s="963">
        <v>-51</v>
      </c>
      <c r="D38" s="963">
        <v>-5</v>
      </c>
      <c r="E38" s="963">
        <v>-21</v>
      </c>
      <c r="F38" s="963">
        <v>-19</v>
      </c>
      <c r="G38" s="1008">
        <v>-41</v>
      </c>
      <c r="H38" s="1008">
        <v>-29</v>
      </c>
      <c r="I38" s="1008">
        <v>-28</v>
      </c>
      <c r="J38" s="1008">
        <v>-19</v>
      </c>
      <c r="K38" s="1008">
        <v>-47</v>
      </c>
    </row>
    <row r="39" spans="1:11" ht="11.25" customHeight="1">
      <c r="A39" s="940"/>
      <c r="B39" s="940"/>
      <c r="C39" s="1007"/>
      <c r="D39" s="1009"/>
      <c r="E39" s="1009"/>
      <c r="F39" s="1009"/>
      <c r="G39" s="1010"/>
      <c r="H39" s="1010"/>
      <c r="I39" s="1010"/>
      <c r="J39" s="1010"/>
      <c r="K39" s="1010"/>
    </row>
    <row r="40" spans="1:11" ht="11.25" customHeight="1">
      <c r="A40" s="1237" t="s">
        <v>487</v>
      </c>
      <c r="B40" s="1237"/>
      <c r="C40" s="963">
        <v>102</v>
      </c>
      <c r="D40" s="963">
        <v>-5</v>
      </c>
      <c r="E40" s="963">
        <v>62</v>
      </c>
      <c r="F40" s="963">
        <v>59</v>
      </c>
      <c r="G40" s="1008">
        <v>153</v>
      </c>
      <c r="H40" s="1008">
        <v>101</v>
      </c>
      <c r="I40" s="1008">
        <v>75</v>
      </c>
      <c r="J40" s="1008">
        <v>57</v>
      </c>
      <c r="K40" s="1008">
        <v>165</v>
      </c>
    </row>
    <row r="41" spans="1:11" ht="11.25" customHeight="1">
      <c r="A41" s="940"/>
      <c r="B41" s="940"/>
      <c r="C41" s="1007"/>
      <c r="D41" s="1009"/>
      <c r="E41" s="1009"/>
      <c r="F41" s="1009"/>
      <c r="G41" s="1010"/>
      <c r="H41" s="1010"/>
      <c r="I41" s="1010"/>
      <c r="J41" s="1010"/>
      <c r="K41" s="1010"/>
    </row>
    <row r="42" spans="1:11" ht="11.25" customHeight="1">
      <c r="A42" s="1240" t="s">
        <v>1130</v>
      </c>
      <c r="B42" s="1240"/>
      <c r="C42" s="1007">
        <v>0.17</v>
      </c>
      <c r="D42" s="1007">
        <v>-0.01</v>
      </c>
      <c r="E42" s="1007">
        <v>0.11</v>
      </c>
      <c r="F42" s="1007">
        <v>0.1</v>
      </c>
      <c r="G42" s="1013">
        <v>0.25</v>
      </c>
      <c r="H42" s="1013">
        <v>0.17</v>
      </c>
      <c r="I42" s="1013">
        <v>0.13</v>
      </c>
      <c r="J42" s="1013">
        <v>0.1</v>
      </c>
      <c r="K42" s="1013">
        <v>0.28000000000000003</v>
      </c>
    </row>
    <row r="43" spans="1:11" ht="11.25" customHeight="1">
      <c r="A43" s="940"/>
      <c r="B43" s="940"/>
      <c r="C43" s="1007"/>
      <c r="D43" s="1009"/>
      <c r="E43" s="1009"/>
      <c r="F43" s="1009"/>
      <c r="G43" s="1010"/>
      <c r="H43" s="1010"/>
      <c r="I43" s="1010"/>
      <c r="J43" s="1010"/>
      <c r="K43" s="1010"/>
    </row>
    <row r="44" spans="1:11" ht="11.25" customHeight="1">
      <c r="A44" s="1237" t="s">
        <v>832</v>
      </c>
      <c r="B44" s="1237"/>
      <c r="C44" s="963">
        <v>44</v>
      </c>
      <c r="D44" s="963">
        <v>24</v>
      </c>
      <c r="E44" s="963">
        <v>32</v>
      </c>
      <c r="F44" s="963">
        <v>23</v>
      </c>
      <c r="G44" s="1008">
        <v>48</v>
      </c>
      <c r="H44" s="1008">
        <v>26</v>
      </c>
      <c r="I44" s="1008">
        <v>194</v>
      </c>
      <c r="J44" s="1008">
        <v>37</v>
      </c>
      <c r="K44" s="1008">
        <v>79</v>
      </c>
    </row>
    <row r="45" spans="1:11" ht="11.25" customHeight="1">
      <c r="A45" s="1242" t="s">
        <v>427</v>
      </c>
      <c r="B45" s="1242"/>
      <c r="C45" s="963">
        <v>2</v>
      </c>
      <c r="D45" s="963"/>
      <c r="E45" s="963">
        <v>4</v>
      </c>
      <c r="F45" s="963"/>
      <c r="G45" s="1008">
        <v>-1</v>
      </c>
      <c r="H45" s="1008"/>
      <c r="I45" s="1008">
        <v>177</v>
      </c>
      <c r="J45" s="1008">
        <v>20</v>
      </c>
      <c r="K45" s="1008">
        <v>45</v>
      </c>
    </row>
    <row r="46" spans="1:11" ht="11.25" customHeight="1">
      <c r="A46" s="940"/>
      <c r="B46" s="940"/>
      <c r="C46" s="1007"/>
      <c r="D46" s="1009"/>
      <c r="E46" s="1009"/>
      <c r="F46" s="1009"/>
      <c r="G46" s="1010"/>
      <c r="H46" s="1010"/>
      <c r="I46" s="1010"/>
      <c r="J46" s="1010"/>
      <c r="K46" s="1010"/>
    </row>
    <row r="47" spans="1:11" ht="11.25" customHeight="1">
      <c r="A47" s="1240" t="s">
        <v>555</v>
      </c>
      <c r="B47" s="1240"/>
      <c r="C47" s="963">
        <v>295</v>
      </c>
      <c r="D47" s="963">
        <v>-61</v>
      </c>
      <c r="E47" s="963">
        <v>-37</v>
      </c>
      <c r="F47" s="963">
        <v>35</v>
      </c>
      <c r="G47" s="1008">
        <v>349</v>
      </c>
      <c r="H47" s="1008">
        <v>122</v>
      </c>
      <c r="I47" s="1008">
        <v>41</v>
      </c>
      <c r="J47" s="1008">
        <v>-42</v>
      </c>
      <c r="K47" s="1008">
        <v>276</v>
      </c>
    </row>
    <row r="48" spans="1:11" ht="11.25" customHeight="1">
      <c r="A48" s="940"/>
      <c r="B48" s="940"/>
      <c r="C48" s="1007"/>
      <c r="D48" s="1009"/>
      <c r="E48" s="1009"/>
      <c r="F48" s="1009"/>
      <c r="G48" s="1010"/>
      <c r="H48" s="1010"/>
      <c r="I48" s="1010"/>
      <c r="J48" s="1010"/>
      <c r="K48" s="1010"/>
    </row>
    <row r="49" spans="1:11" ht="11.25" customHeight="1">
      <c r="A49" s="1223" t="s">
        <v>1561</v>
      </c>
      <c r="B49" s="1223"/>
      <c r="C49" s="963">
        <v>732</v>
      </c>
      <c r="D49" s="963">
        <v>870</v>
      </c>
      <c r="E49" s="963">
        <v>784</v>
      </c>
      <c r="F49" s="963">
        <v>656</v>
      </c>
      <c r="G49" s="1008">
        <v>581</v>
      </c>
      <c r="H49" s="1008">
        <v>782</v>
      </c>
      <c r="I49" s="1008">
        <v>790</v>
      </c>
      <c r="J49" s="1008">
        <v>726</v>
      </c>
      <c r="K49" s="1008">
        <v>563</v>
      </c>
    </row>
    <row r="50" spans="1:11" ht="11.25" customHeight="1">
      <c r="A50" s="940"/>
      <c r="B50" s="940"/>
      <c r="C50" s="1007"/>
      <c r="D50" s="1009"/>
      <c r="E50" s="1009"/>
      <c r="F50" s="1009"/>
      <c r="G50" s="1010"/>
      <c r="H50" s="1010"/>
      <c r="I50" s="1010"/>
      <c r="J50" s="1010"/>
      <c r="K50" s="1010"/>
    </row>
    <row r="51" spans="1:11" ht="11.25" customHeight="1">
      <c r="A51" s="1241" t="s">
        <v>1072</v>
      </c>
      <c r="B51" s="1241"/>
      <c r="C51" s="1007"/>
      <c r="D51" s="963"/>
      <c r="E51" s="963"/>
      <c r="F51" s="963"/>
      <c r="G51" s="1008"/>
      <c r="H51" s="1008"/>
      <c r="I51" s="1008"/>
      <c r="J51" s="1008"/>
      <c r="K51" s="1008"/>
    </row>
    <row r="52" spans="1:11" ht="11.25" customHeight="1">
      <c r="A52" s="1242" t="s">
        <v>1401</v>
      </c>
      <c r="B52" s="1242"/>
      <c r="C52" s="963">
        <v>13460</v>
      </c>
      <c r="D52" s="963">
        <v>13530</v>
      </c>
      <c r="E52" s="963">
        <v>13598</v>
      </c>
      <c r="F52" s="963">
        <v>13467</v>
      </c>
      <c r="G52" s="1008">
        <v>13582</v>
      </c>
      <c r="H52" s="1008">
        <v>13727</v>
      </c>
      <c r="I52" s="1008">
        <v>13609</v>
      </c>
      <c r="J52" s="1008">
        <v>12618</v>
      </c>
      <c r="K52" s="1008"/>
    </row>
    <row r="53" spans="1:11" ht="11.25" customHeight="1">
      <c r="A53" s="1243" t="s">
        <v>1402</v>
      </c>
      <c r="B53" s="1243"/>
      <c r="C53" s="855">
        <v>5335</v>
      </c>
      <c r="D53" s="855">
        <v>5488</v>
      </c>
      <c r="E53" s="855">
        <v>5641</v>
      </c>
      <c r="F53" s="855">
        <v>5758</v>
      </c>
      <c r="G53" s="959">
        <v>5712</v>
      </c>
      <c r="H53" s="959">
        <v>5692</v>
      </c>
      <c r="I53" s="959">
        <v>5622</v>
      </c>
      <c r="J53" s="959">
        <v>5564</v>
      </c>
      <c r="K53" s="959"/>
    </row>
    <row r="54" spans="1:11" ht="11.25" customHeight="1">
      <c r="A54" s="1238" t="s">
        <v>641</v>
      </c>
      <c r="B54" s="1238"/>
      <c r="C54" s="963">
        <v>18795</v>
      </c>
      <c r="D54" s="963">
        <v>19018</v>
      </c>
      <c r="E54" s="963">
        <v>19239</v>
      </c>
      <c r="F54" s="963">
        <v>19225</v>
      </c>
      <c r="G54" s="1008">
        <v>19294</v>
      </c>
      <c r="H54" s="1008">
        <v>19420</v>
      </c>
      <c r="I54" s="1008">
        <v>19231</v>
      </c>
      <c r="J54" s="1008">
        <v>18182</v>
      </c>
      <c r="K54" s="1008">
        <v>18065</v>
      </c>
    </row>
    <row r="55" spans="1:11" ht="11.25" customHeight="1">
      <c r="B55" s="836"/>
      <c r="C55" s="837"/>
      <c r="D55" s="837"/>
      <c r="E55" s="837"/>
      <c r="F55" s="837"/>
      <c r="G55" s="837"/>
      <c r="H55" s="837"/>
      <c r="I55" s="837"/>
      <c r="J55" s="837"/>
      <c r="K55" s="837"/>
    </row>
    <row r="56" spans="1:11" ht="11.25" customHeight="1">
      <c r="A56" s="1239" t="s">
        <v>1599</v>
      </c>
      <c r="B56" s="1239"/>
      <c r="C56" s="1239"/>
      <c r="D56" s="1239"/>
      <c r="E56" s="1239"/>
      <c r="F56" s="1239"/>
      <c r="G56" s="1239"/>
      <c r="H56" s="1239"/>
      <c r="I56" s="1239"/>
      <c r="J56" s="1239"/>
      <c r="K56" s="1239"/>
    </row>
    <row r="57" spans="1:11" ht="11.25" customHeight="1">
      <c r="A57" s="1239" t="s">
        <v>1600</v>
      </c>
      <c r="B57" s="1239"/>
      <c r="C57" s="1239"/>
      <c r="D57" s="1239"/>
      <c r="E57" s="1239"/>
      <c r="F57" s="1239"/>
      <c r="G57" s="1239"/>
      <c r="H57" s="1239"/>
      <c r="I57" s="1239"/>
      <c r="J57" s="1239"/>
      <c r="K57" s="1239"/>
    </row>
    <row r="58" spans="1:11" ht="11.25" customHeight="1"/>
  </sheetData>
  <mergeCells count="41">
    <mergeCell ref="A34:B34"/>
    <mergeCell ref="A45:B45"/>
    <mergeCell ref="A52:B52"/>
    <mergeCell ref="A53:B53"/>
    <mergeCell ref="A37:B37"/>
    <mergeCell ref="A36:B36"/>
    <mergeCell ref="A51:B51"/>
    <mergeCell ref="A1:K1"/>
    <mergeCell ref="A13:B13"/>
    <mergeCell ref="A4:B4"/>
    <mergeCell ref="A5:B5"/>
    <mergeCell ref="A8:B8"/>
    <mergeCell ref="A10:B10"/>
    <mergeCell ref="A6:B6"/>
    <mergeCell ref="A7:B7"/>
    <mergeCell ref="A11:B11"/>
    <mergeCell ref="A12:B12"/>
    <mergeCell ref="A30:B30"/>
    <mergeCell ref="A31:B31"/>
    <mergeCell ref="A33:B33"/>
    <mergeCell ref="A14:B14"/>
    <mergeCell ref="A15:B15"/>
    <mergeCell ref="A18:B18"/>
    <mergeCell ref="A20:B20"/>
    <mergeCell ref="A22:B22"/>
    <mergeCell ref="A16:B16"/>
    <mergeCell ref="A17:B17"/>
    <mergeCell ref="A29:B29"/>
    <mergeCell ref="A23:B23"/>
    <mergeCell ref="A26:B26"/>
    <mergeCell ref="A25:B25"/>
    <mergeCell ref="A28:B28"/>
    <mergeCell ref="A54:B54"/>
    <mergeCell ref="A57:K57"/>
    <mergeCell ref="A38:B38"/>
    <mergeCell ref="A40:B40"/>
    <mergeCell ref="A42:B42"/>
    <mergeCell ref="A44:B44"/>
    <mergeCell ref="A47:B47"/>
    <mergeCell ref="A49:B49"/>
    <mergeCell ref="A56:K56"/>
  </mergeCells>
  <pageMargins left="0.7" right="0.7" top="0.75" bottom="0.75" header="0.3" footer="0.3"/>
  <pageSetup paperSize="9" scale="76" orientation="portrait" r:id="rId1"/>
  <customProperties>
    <customPr name="SheetOptions"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dimension ref="A1:Q37"/>
  <sheetViews>
    <sheetView zoomScaleNormal="100" workbookViewId="0">
      <selection sqref="A1:D1"/>
    </sheetView>
  </sheetViews>
  <sheetFormatPr defaultColWidth="8.6640625" defaultRowHeight="11.25"/>
  <cols>
    <col min="1" max="1" width="2.6640625" style="224" customWidth="1"/>
    <col min="2" max="2" width="87.5" style="224" customWidth="1"/>
    <col min="3" max="4" width="20" style="229" customWidth="1"/>
    <col min="5" max="17" width="3.6640625" style="205" customWidth="1"/>
    <col min="18" max="16384" width="8.6640625" style="1151"/>
  </cols>
  <sheetData>
    <row r="1" spans="1:17" ht="15.75">
      <c r="A1" s="1244" t="s">
        <v>1526</v>
      </c>
      <c r="B1" s="1312"/>
      <c r="C1" s="1312"/>
      <c r="D1" s="1312"/>
    </row>
    <row r="2" spans="1:17" ht="11.25" customHeight="1">
      <c r="A2" s="327"/>
      <c r="B2" s="269"/>
      <c r="C2" s="328"/>
      <c r="D2" s="328"/>
      <c r="E2" s="763"/>
      <c r="F2" s="763"/>
      <c r="G2" s="763"/>
      <c r="H2" s="763"/>
      <c r="I2" s="763"/>
      <c r="J2" s="763"/>
      <c r="K2" s="763"/>
      <c r="L2" s="763"/>
      <c r="M2" s="763"/>
      <c r="N2" s="763"/>
      <c r="O2" s="763"/>
      <c r="P2" s="763"/>
      <c r="Q2" s="763"/>
    </row>
    <row r="3" spans="1:17">
      <c r="A3" s="1338" t="s">
        <v>700</v>
      </c>
      <c r="B3" s="1338"/>
      <c r="C3" s="550">
        <v>2019</v>
      </c>
      <c r="D3" s="291">
        <v>2018</v>
      </c>
    </row>
    <row r="4" spans="1:17">
      <c r="A4" s="1293" t="s">
        <v>562</v>
      </c>
      <c r="B4" s="1293"/>
      <c r="C4" s="531"/>
      <c r="D4" s="415"/>
    </row>
    <row r="5" spans="1:17">
      <c r="A5" s="1242" t="s">
        <v>1074</v>
      </c>
      <c r="B5" s="1242"/>
      <c r="C5" s="535">
        <v>-130</v>
      </c>
      <c r="D5" s="400">
        <v>-126</v>
      </c>
    </row>
    <row r="6" spans="1:17">
      <c r="A6" s="1242" t="s">
        <v>1075</v>
      </c>
      <c r="B6" s="1242"/>
      <c r="C6" s="535">
        <v>-8</v>
      </c>
      <c r="D6" s="400">
        <v>1</v>
      </c>
    </row>
    <row r="7" spans="1:17">
      <c r="A7" s="1336" t="s">
        <v>330</v>
      </c>
      <c r="B7" s="1336"/>
      <c r="C7" s="555"/>
      <c r="D7" s="400"/>
    </row>
    <row r="8" spans="1:17">
      <c r="A8" s="1242" t="s">
        <v>957</v>
      </c>
      <c r="B8" s="1242"/>
      <c r="C8" s="1158">
        <v>43</v>
      </c>
      <c r="D8" s="400">
        <v>10</v>
      </c>
    </row>
    <row r="9" spans="1:17" ht="11.25" customHeight="1">
      <c r="A9" s="1243" t="s">
        <v>1269</v>
      </c>
      <c r="B9" s="1243"/>
      <c r="C9" s="741">
        <v>-2</v>
      </c>
      <c r="D9" s="401">
        <v>1</v>
      </c>
    </row>
    <row r="10" spans="1:17" ht="11.25" customHeight="1">
      <c r="A10" s="1290" t="s">
        <v>641</v>
      </c>
      <c r="B10" s="1290"/>
      <c r="C10" s="537">
        <v>-97</v>
      </c>
      <c r="D10" s="452">
        <v>-116</v>
      </c>
    </row>
    <row r="11" spans="1:17" ht="11.25" customHeight="1">
      <c r="A11" s="748"/>
      <c r="B11" s="748"/>
      <c r="C11" s="715"/>
      <c r="D11" s="442"/>
    </row>
    <row r="12" spans="1:17" ht="11.25" customHeight="1">
      <c r="A12" s="1332" t="s">
        <v>1047</v>
      </c>
      <c r="B12" s="1332"/>
      <c r="C12" s="715"/>
      <c r="D12" s="442"/>
    </row>
    <row r="13" spans="1:17" ht="11.25" customHeight="1">
      <c r="A13" s="751"/>
      <c r="B13" s="751"/>
      <c r="C13" s="715"/>
      <c r="D13" s="442"/>
    </row>
    <row r="14" spans="1:17" ht="11.25" customHeight="1">
      <c r="A14" s="1336" t="s">
        <v>636</v>
      </c>
      <c r="B14" s="1336"/>
      <c r="C14" s="535">
        <v>315</v>
      </c>
      <c r="D14" s="400">
        <v>502</v>
      </c>
    </row>
    <row r="15" spans="1:17" ht="11.25" customHeight="1">
      <c r="A15" s="644"/>
      <c r="B15" s="421"/>
      <c r="C15" s="535"/>
      <c r="D15" s="400"/>
    </row>
    <row r="16" spans="1:17" ht="11.25" customHeight="1">
      <c r="A16" s="1315" t="s">
        <v>1150</v>
      </c>
      <c r="B16" s="1315"/>
      <c r="C16" s="535">
        <v>-63</v>
      </c>
      <c r="D16" s="400">
        <v>-100</v>
      </c>
    </row>
    <row r="17" spans="1:17" ht="11.25" customHeight="1">
      <c r="A17" s="1336" t="s">
        <v>325</v>
      </c>
      <c r="B17" s="1336"/>
      <c r="C17" s="535">
        <v>-2</v>
      </c>
      <c r="D17" s="403">
        <v>1</v>
      </c>
    </row>
    <row r="18" spans="1:17" ht="11.25" customHeight="1">
      <c r="A18" s="1336" t="s">
        <v>294</v>
      </c>
      <c r="B18" s="1336"/>
      <c r="C18" s="535">
        <v>15</v>
      </c>
      <c r="D18" s="400">
        <v>6</v>
      </c>
    </row>
    <row r="19" spans="1:17" ht="11.25" customHeight="1">
      <c r="A19" s="1281" t="s">
        <v>678</v>
      </c>
      <c r="B19" s="1281"/>
      <c r="C19" s="535">
        <v>-1</v>
      </c>
      <c r="D19" s="400">
        <v>2</v>
      </c>
    </row>
    <row r="20" spans="1:17" ht="11.25" customHeight="1">
      <c r="A20" s="1281" t="s">
        <v>1053</v>
      </c>
      <c r="B20" s="1281"/>
      <c r="C20" s="535">
        <v>-2</v>
      </c>
      <c r="D20" s="624">
        <v>3</v>
      </c>
    </row>
    <row r="21" spans="1:17" ht="11.25" customHeight="1">
      <c r="A21" s="1333" t="s">
        <v>1064</v>
      </c>
      <c r="B21" s="1333"/>
      <c r="C21" s="535">
        <v>1</v>
      </c>
      <c r="D21" s="672"/>
    </row>
    <row r="22" spans="1:17" ht="11.25" customHeight="1">
      <c r="A22" s="1334" t="s">
        <v>623</v>
      </c>
      <c r="B22" s="1334"/>
      <c r="C22" s="535">
        <v>-13</v>
      </c>
      <c r="D22" s="672">
        <v>-17</v>
      </c>
    </row>
    <row r="23" spans="1:17" ht="11.25" customHeight="1">
      <c r="A23" s="1334" t="s">
        <v>904</v>
      </c>
      <c r="B23" s="1334"/>
      <c r="C23" s="535">
        <v>-10</v>
      </c>
      <c r="D23" s="672">
        <v>-10</v>
      </c>
    </row>
    <row r="24" spans="1:17" ht="11.25" customHeight="1">
      <c r="A24" s="1334" t="s">
        <v>1574</v>
      </c>
      <c r="B24" s="1334"/>
      <c r="C24" s="535">
        <v>-13</v>
      </c>
      <c r="D24" s="672">
        <v>-1</v>
      </c>
    </row>
    <row r="25" spans="1:17" ht="11.25" customHeight="1">
      <c r="A25" s="1337" t="s">
        <v>1076</v>
      </c>
      <c r="B25" s="1337"/>
      <c r="C25" s="549">
        <v>-8</v>
      </c>
      <c r="D25" s="625">
        <v>1</v>
      </c>
    </row>
    <row r="26" spans="1:17" ht="11.25" customHeight="1">
      <c r="A26" s="1290" t="s">
        <v>622</v>
      </c>
      <c r="B26" s="1290"/>
      <c r="C26" s="537">
        <v>-97</v>
      </c>
      <c r="D26" s="452">
        <v>-116</v>
      </c>
    </row>
    <row r="27" spans="1:17">
      <c r="A27" s="409"/>
      <c r="B27" s="409"/>
      <c r="C27" s="556"/>
      <c r="D27" s="422"/>
    </row>
    <row r="28" spans="1:17">
      <c r="A28" s="1335" t="s">
        <v>928</v>
      </c>
      <c r="B28" s="1335"/>
      <c r="C28" s="557">
        <v>30.7</v>
      </c>
      <c r="D28" s="423">
        <v>23.1</v>
      </c>
    </row>
    <row r="29" spans="1:17">
      <c r="A29" s="603"/>
    </row>
    <row r="30" spans="1:17">
      <c r="A30" s="1313" t="s">
        <v>1682</v>
      </c>
      <c r="B30" s="1313"/>
      <c r="C30" s="1313"/>
      <c r="D30" s="1313"/>
    </row>
    <row r="31" spans="1:17">
      <c r="A31" s="1313" t="s">
        <v>1731</v>
      </c>
      <c r="B31" s="1313"/>
      <c r="C31" s="1313"/>
      <c r="D31" s="1313"/>
      <c r="E31" s="1100"/>
      <c r="F31" s="1100"/>
      <c r="G31" s="1100"/>
      <c r="H31" s="1100"/>
      <c r="I31" s="1100"/>
      <c r="J31" s="1100"/>
      <c r="K31" s="1100"/>
      <c r="L31" s="1100"/>
      <c r="M31" s="1100"/>
      <c r="N31" s="1100"/>
      <c r="O31" s="1100"/>
      <c r="P31" s="1100"/>
      <c r="Q31" s="1100"/>
    </row>
    <row r="33" spans="1:4" ht="22.5" customHeight="1">
      <c r="A33" s="1279" t="s">
        <v>1608</v>
      </c>
      <c r="B33" s="1279"/>
      <c r="C33" s="1279"/>
      <c r="D33" s="1279"/>
    </row>
    <row r="34" spans="1:4" ht="11.25" customHeight="1">
      <c r="A34" s="1299"/>
      <c r="B34" s="1299"/>
      <c r="C34" s="1299"/>
      <c r="D34" s="1299"/>
    </row>
    <row r="35" spans="1:4" ht="11.25" customHeight="1">
      <c r="A35" s="1299" t="s">
        <v>1048</v>
      </c>
      <c r="B35" s="1299"/>
      <c r="C35" s="1299"/>
      <c r="D35" s="1299"/>
    </row>
    <row r="37" spans="1:4">
      <c r="A37" s="1246"/>
      <c r="B37" s="1246"/>
      <c r="C37" s="1246"/>
      <c r="D37" s="1246"/>
    </row>
  </sheetData>
  <mergeCells count="29">
    <mergeCell ref="A30:D30"/>
    <mergeCell ref="A33:D33"/>
    <mergeCell ref="A25:B25"/>
    <mergeCell ref="A1:D1"/>
    <mergeCell ref="A4:B4"/>
    <mergeCell ref="A7:B7"/>
    <mergeCell ref="A10:B10"/>
    <mergeCell ref="A3:B3"/>
    <mergeCell ref="A5:B5"/>
    <mergeCell ref="A6:B6"/>
    <mergeCell ref="A8:B8"/>
    <mergeCell ref="A9:B9"/>
    <mergeCell ref="A31:D31"/>
    <mergeCell ref="A37:D37"/>
    <mergeCell ref="A12:B12"/>
    <mergeCell ref="A19:B19"/>
    <mergeCell ref="A21:B21"/>
    <mergeCell ref="A22:B22"/>
    <mergeCell ref="A23:B23"/>
    <mergeCell ref="A26:B26"/>
    <mergeCell ref="A20:B20"/>
    <mergeCell ref="A28:B28"/>
    <mergeCell ref="A35:D35"/>
    <mergeCell ref="A14:B14"/>
    <mergeCell ref="A34:D34"/>
    <mergeCell ref="A16:B16"/>
    <mergeCell ref="A17:B17"/>
    <mergeCell ref="A18:B18"/>
    <mergeCell ref="A24:B24"/>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dimension ref="A1:Q24"/>
  <sheetViews>
    <sheetView zoomScaleNormal="100" workbookViewId="0">
      <selection sqref="A1:D1"/>
    </sheetView>
  </sheetViews>
  <sheetFormatPr defaultColWidth="8.6640625" defaultRowHeight="11.25"/>
  <cols>
    <col min="1" max="1" width="2.5" style="224" customWidth="1"/>
    <col min="2" max="2" width="87.5" style="224" customWidth="1"/>
    <col min="3" max="4" width="20" style="229" customWidth="1"/>
    <col min="5" max="17" width="3.6640625" style="205" customWidth="1"/>
    <col min="18" max="16384" width="8.6640625" style="1151"/>
  </cols>
  <sheetData>
    <row r="1" spans="1:17" ht="15.75" customHeight="1">
      <c r="A1" s="1339" t="s">
        <v>1527</v>
      </c>
      <c r="B1" s="1340"/>
      <c r="C1" s="1340"/>
      <c r="D1" s="1340"/>
    </row>
    <row r="2" spans="1:17">
      <c r="A2" s="325"/>
      <c r="B2" s="279"/>
      <c r="C2" s="281"/>
      <c r="D2" s="281"/>
    </row>
    <row r="3" spans="1:17" ht="23.25" customHeight="1">
      <c r="A3" s="1341" t="s">
        <v>1696</v>
      </c>
      <c r="B3" s="1342"/>
      <c r="C3" s="1342"/>
      <c r="D3" s="1342"/>
    </row>
    <row r="4" spans="1:17">
      <c r="A4" s="279"/>
      <c r="B4" s="279"/>
      <c r="C4" s="326"/>
      <c r="D4" s="326"/>
      <c r="E4" s="763"/>
      <c r="F4" s="763"/>
      <c r="G4" s="763"/>
      <c r="H4" s="763"/>
      <c r="I4" s="763"/>
      <c r="J4" s="763"/>
      <c r="K4" s="763"/>
      <c r="L4" s="763"/>
      <c r="M4" s="763"/>
      <c r="N4" s="763"/>
      <c r="O4" s="763"/>
      <c r="P4" s="763"/>
      <c r="Q4" s="763"/>
    </row>
    <row r="5" spans="1:17">
      <c r="A5" s="1269" t="s">
        <v>700</v>
      </c>
      <c r="B5" s="1343"/>
      <c r="C5" s="558">
        <v>2019</v>
      </c>
      <c r="D5" s="467">
        <v>2018</v>
      </c>
    </row>
    <row r="6" spans="1:17" ht="11.25" customHeight="1">
      <c r="A6" s="1223" t="s">
        <v>1197</v>
      </c>
      <c r="B6" s="1223"/>
      <c r="C6" s="540">
        <v>217</v>
      </c>
      <c r="D6" s="442">
        <v>386</v>
      </c>
    </row>
    <row r="7" spans="1:17">
      <c r="A7" s="449"/>
      <c r="B7" s="449"/>
      <c r="C7" s="543"/>
      <c r="D7" s="439"/>
    </row>
    <row r="8" spans="1:17">
      <c r="A8" s="1223" t="s">
        <v>579</v>
      </c>
      <c r="B8" s="1223"/>
      <c r="C8" s="543"/>
      <c r="D8" s="439"/>
    </row>
    <row r="9" spans="1:17">
      <c r="A9" s="1242" t="s">
        <v>1697</v>
      </c>
      <c r="B9" s="1242"/>
      <c r="C9" s="540">
        <v>591723</v>
      </c>
      <c r="D9" s="442">
        <v>591723</v>
      </c>
    </row>
    <row r="10" spans="1:17">
      <c r="A10" s="449"/>
      <c r="B10" s="449"/>
      <c r="C10" s="543"/>
      <c r="D10" s="439"/>
    </row>
    <row r="11" spans="1:17">
      <c r="A11" s="1292" t="s">
        <v>1056</v>
      </c>
      <c r="B11" s="1292"/>
      <c r="C11" s="607"/>
      <c r="D11" s="430"/>
    </row>
    <row r="12" spans="1:17" ht="11.25" customHeight="1">
      <c r="A12" s="1344" t="s">
        <v>1130</v>
      </c>
      <c r="B12" s="1344"/>
      <c r="C12" s="608">
        <v>0.37</v>
      </c>
      <c r="D12" s="609">
        <v>0.65</v>
      </c>
    </row>
    <row r="13" spans="1:17">
      <c r="A13" s="218"/>
      <c r="B13" s="279"/>
      <c r="C13" s="286"/>
      <c r="D13" s="281"/>
    </row>
    <row r="14" spans="1:17" ht="11.25" customHeight="1">
      <c r="A14" s="1299" t="s">
        <v>1562</v>
      </c>
      <c r="B14" s="1299"/>
      <c r="C14" s="1299"/>
      <c r="D14" s="1299"/>
    </row>
    <row r="16" spans="1:17">
      <c r="A16" s="1299"/>
      <c r="B16" s="1299"/>
      <c r="C16" s="1299"/>
      <c r="D16" s="1299"/>
    </row>
    <row r="24" spans="2:2">
      <c r="B24" s="226"/>
    </row>
  </sheetData>
  <mergeCells count="10">
    <mergeCell ref="A16:D16"/>
    <mergeCell ref="A14:D14"/>
    <mergeCell ref="A1:D1"/>
    <mergeCell ref="A8:B8"/>
    <mergeCell ref="A3:D3"/>
    <mergeCell ref="A6:B6"/>
    <mergeCell ref="A5:B5"/>
    <mergeCell ref="A11:B11"/>
    <mergeCell ref="A9:B9"/>
    <mergeCell ref="A12:B12"/>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6"/>
  <dimension ref="A1:Q135"/>
  <sheetViews>
    <sheetView zoomScaleNormal="100" workbookViewId="0">
      <selection sqref="A1:F1"/>
    </sheetView>
  </sheetViews>
  <sheetFormatPr defaultColWidth="8.6640625" defaultRowHeight="11.25"/>
  <cols>
    <col min="1" max="1" width="63.33203125" style="205" customWidth="1"/>
    <col min="2" max="6" width="13.33203125" style="205" customWidth="1"/>
    <col min="7" max="17" width="3.6640625" style="205" customWidth="1"/>
    <col min="18" max="16384" width="8.6640625" style="1151"/>
  </cols>
  <sheetData>
    <row r="1" spans="1:17" ht="15.75" customHeight="1">
      <c r="A1" s="1244" t="s">
        <v>1528</v>
      </c>
      <c r="B1" s="1244"/>
      <c r="C1" s="1244"/>
      <c r="D1" s="1244"/>
      <c r="E1" s="1244"/>
      <c r="F1" s="1244"/>
    </row>
    <row r="2" spans="1:17" ht="11.25" customHeight="1">
      <c r="A2" s="862"/>
      <c r="B2" s="820"/>
      <c r="C2" s="293"/>
      <c r="D2" s="293"/>
      <c r="E2" s="293"/>
      <c r="F2" s="293"/>
    </row>
    <row r="3" spans="1:17" ht="11.25" customHeight="1">
      <c r="A3" s="1350" t="s">
        <v>1616</v>
      </c>
      <c r="B3" s="1350"/>
      <c r="C3" s="1350"/>
      <c r="D3" s="1350"/>
      <c r="E3" s="1350"/>
      <c r="F3" s="1350"/>
    </row>
    <row r="4" spans="1:17" ht="11.25" customHeight="1">
      <c r="A4" s="1073"/>
      <c r="B4" s="1072"/>
      <c r="C4" s="1072"/>
      <c r="D4" s="1072"/>
      <c r="E4" s="1072"/>
      <c r="F4" s="1072"/>
      <c r="G4" s="1074"/>
      <c r="H4" s="1074"/>
      <c r="I4" s="1074"/>
      <c r="J4" s="1074"/>
      <c r="K4" s="1074"/>
      <c r="L4" s="1074"/>
      <c r="M4" s="1074"/>
      <c r="N4" s="1074"/>
      <c r="O4" s="1074"/>
      <c r="P4" s="1074"/>
      <c r="Q4" s="1074"/>
    </row>
    <row r="5" spans="1:17" ht="11.25" customHeight="1">
      <c r="A5" s="1245" t="s">
        <v>700</v>
      </c>
      <c r="B5" s="1245"/>
      <c r="C5" s="1245"/>
      <c r="D5" s="1245"/>
      <c r="E5" s="1245"/>
      <c r="F5" s="558">
        <v>2019</v>
      </c>
      <c r="G5" s="1074"/>
      <c r="H5" s="1074"/>
      <c r="I5" s="1074"/>
      <c r="J5" s="1074"/>
      <c r="K5" s="1074"/>
      <c r="L5" s="1074"/>
      <c r="M5" s="1074"/>
      <c r="N5" s="1074"/>
      <c r="O5" s="1074"/>
      <c r="P5" s="1074"/>
      <c r="Q5" s="1074"/>
    </row>
    <row r="6" spans="1:17" ht="11.25" customHeight="1">
      <c r="A6" s="876" t="s">
        <v>1547</v>
      </c>
      <c r="B6" s="876"/>
      <c r="C6" s="480"/>
      <c r="D6" s="480"/>
      <c r="E6" s="480"/>
      <c r="F6" s="727"/>
      <c r="G6" s="1074"/>
      <c r="H6" s="1074"/>
      <c r="I6" s="1074"/>
      <c r="J6" s="1074"/>
      <c r="K6" s="1074"/>
      <c r="L6" s="1074"/>
      <c r="M6" s="1074"/>
      <c r="N6" s="1074"/>
      <c r="O6" s="1074"/>
      <c r="P6" s="1074"/>
      <c r="Q6" s="1074"/>
    </row>
    <row r="7" spans="1:17" ht="11.25" customHeight="1">
      <c r="A7" s="1229" t="s">
        <v>1380</v>
      </c>
      <c r="B7" s="1229"/>
      <c r="C7" s="1229"/>
      <c r="D7" s="1229"/>
      <c r="E7" s="1229"/>
      <c r="F7" s="559">
        <v>1355</v>
      </c>
      <c r="G7" s="1074"/>
      <c r="H7" s="1074"/>
      <c r="I7" s="1074"/>
      <c r="J7" s="1074"/>
      <c r="K7" s="1074"/>
      <c r="L7" s="1074"/>
      <c r="M7" s="1074"/>
      <c r="N7" s="1074"/>
      <c r="O7" s="1074"/>
      <c r="P7" s="1074"/>
      <c r="Q7" s="1074"/>
    </row>
    <row r="8" spans="1:17" ht="11.25" customHeight="1">
      <c r="A8" s="1229" t="s">
        <v>841</v>
      </c>
      <c r="B8" s="1229"/>
      <c r="C8" s="1229"/>
      <c r="D8" s="1229"/>
      <c r="E8" s="1229"/>
      <c r="F8" s="559">
        <v>-1</v>
      </c>
      <c r="G8" s="1074"/>
      <c r="H8" s="1074"/>
      <c r="I8" s="1074"/>
      <c r="J8" s="1074"/>
      <c r="K8" s="1074"/>
      <c r="L8" s="1074"/>
      <c r="M8" s="1074"/>
      <c r="N8" s="1074"/>
      <c r="O8" s="1074"/>
      <c r="P8" s="1074"/>
      <c r="Q8" s="1074"/>
    </row>
    <row r="9" spans="1:17" ht="11.25" customHeight="1">
      <c r="A9" s="1258" t="s">
        <v>791</v>
      </c>
      <c r="B9" s="1258"/>
      <c r="C9" s="1258"/>
      <c r="D9" s="1258"/>
      <c r="E9" s="1258"/>
      <c r="F9" s="560">
        <v>26</v>
      </c>
      <c r="G9" s="1074"/>
      <c r="H9" s="1074"/>
      <c r="I9" s="1074"/>
      <c r="J9" s="1074"/>
      <c r="K9" s="1074"/>
      <c r="L9" s="1074"/>
      <c r="M9" s="1074"/>
      <c r="N9" s="1074"/>
      <c r="O9" s="1074"/>
      <c r="P9" s="1074"/>
      <c r="Q9" s="1074"/>
    </row>
    <row r="10" spans="1:17" ht="11.25" customHeight="1">
      <c r="A10" s="1266" t="s">
        <v>641</v>
      </c>
      <c r="B10" s="1266"/>
      <c r="C10" s="1266"/>
      <c r="D10" s="1266"/>
      <c r="E10" s="1266"/>
      <c r="F10" s="537">
        <v>1380</v>
      </c>
      <c r="G10" s="1074"/>
      <c r="H10" s="1074"/>
      <c r="I10" s="1074"/>
      <c r="J10" s="1074"/>
      <c r="K10" s="1074"/>
      <c r="L10" s="1074"/>
      <c r="M10" s="1074"/>
      <c r="N10" s="1074"/>
      <c r="O10" s="1074"/>
      <c r="P10" s="1074"/>
      <c r="Q10" s="1074"/>
    </row>
    <row r="11" spans="1:17" ht="11.25" customHeight="1">
      <c r="A11" s="1073"/>
      <c r="B11" s="1072"/>
      <c r="C11" s="1072"/>
      <c r="D11" s="1072"/>
      <c r="E11" s="1072"/>
      <c r="F11" s="1072"/>
      <c r="G11" s="1074"/>
      <c r="H11" s="1074"/>
      <c r="I11" s="1074"/>
      <c r="J11" s="1074"/>
      <c r="K11" s="1074"/>
      <c r="L11" s="1074"/>
      <c r="M11" s="1074"/>
      <c r="N11" s="1074"/>
      <c r="O11" s="1074"/>
      <c r="P11" s="1074"/>
      <c r="Q11" s="1074"/>
    </row>
    <row r="12" spans="1:17" s="1172" customFormat="1" ht="11.25" customHeight="1">
      <c r="A12" s="1176"/>
      <c r="B12" s="1173"/>
      <c r="C12" s="1173"/>
      <c r="D12" s="1173"/>
      <c r="E12" s="1173"/>
      <c r="F12" s="1173"/>
    </row>
    <row r="13" spans="1:17" ht="11.25" customHeight="1">
      <c r="A13" s="1352" t="s">
        <v>1217</v>
      </c>
      <c r="B13" s="1352"/>
      <c r="C13" s="1352"/>
      <c r="D13" s="1352"/>
      <c r="E13" s="1352"/>
      <c r="F13" s="1352"/>
      <c r="G13" s="1074"/>
      <c r="H13" s="1074"/>
      <c r="I13" s="1074"/>
      <c r="J13" s="1074"/>
      <c r="K13" s="1074"/>
      <c r="L13" s="1074"/>
      <c r="M13" s="1074"/>
      <c r="N13" s="1074"/>
      <c r="O13" s="1074"/>
      <c r="P13" s="1074"/>
      <c r="Q13" s="1074"/>
    </row>
    <row r="14" spans="1:17" ht="11.25" customHeight="1">
      <c r="A14" s="1073"/>
      <c r="B14" s="1072"/>
      <c r="C14" s="1072"/>
      <c r="D14" s="1072"/>
      <c r="E14" s="1072"/>
      <c r="F14" s="1072"/>
      <c r="G14" s="1074"/>
      <c r="H14" s="1074"/>
      <c r="I14" s="1074"/>
      <c r="J14" s="1074"/>
      <c r="K14" s="1074"/>
      <c r="L14" s="1074"/>
      <c r="M14" s="1074"/>
      <c r="N14" s="1074"/>
      <c r="O14" s="1074"/>
      <c r="P14" s="1074"/>
      <c r="Q14" s="1074"/>
    </row>
    <row r="15" spans="1:17" ht="56.25" customHeight="1">
      <c r="A15" s="1299" t="s">
        <v>1698</v>
      </c>
      <c r="B15" s="1299"/>
      <c r="C15" s="1299"/>
      <c r="D15" s="1299"/>
      <c r="E15" s="1299"/>
      <c r="F15" s="1299"/>
    </row>
    <row r="16" spans="1:17" ht="11.25" customHeight="1">
      <c r="A16" s="891"/>
      <c r="B16" s="228"/>
      <c r="C16" s="228"/>
      <c r="D16" s="228"/>
      <c r="E16" s="228"/>
      <c r="F16" s="228"/>
    </row>
    <row r="17" spans="1:17" ht="12" customHeight="1">
      <c r="A17" s="1352" t="s">
        <v>1644</v>
      </c>
      <c r="B17" s="1318"/>
      <c r="C17" s="1318"/>
      <c r="D17" s="1318"/>
      <c r="E17" s="1318"/>
      <c r="F17" s="1318"/>
    </row>
    <row r="18" spans="1:17" ht="11.25" customHeight="1">
      <c r="A18" s="891"/>
      <c r="B18" s="220"/>
      <c r="C18" s="220"/>
      <c r="D18" s="220"/>
      <c r="E18" s="1351"/>
      <c r="F18" s="1351"/>
    </row>
    <row r="19" spans="1:17" ht="11.25" customHeight="1">
      <c r="A19" s="1245" t="s">
        <v>700</v>
      </c>
      <c r="B19" s="1245"/>
      <c r="C19" s="1245"/>
      <c r="D19" s="1245"/>
      <c r="E19" s="1245"/>
      <c r="F19" s="558">
        <v>2019</v>
      </c>
    </row>
    <row r="20" spans="1:17" ht="11.25" customHeight="1">
      <c r="A20" s="1229" t="s">
        <v>1435</v>
      </c>
      <c r="B20" s="1229"/>
      <c r="C20" s="1229"/>
      <c r="D20" s="1229"/>
      <c r="E20" s="1229"/>
      <c r="F20" s="727">
        <v>847</v>
      </c>
      <c r="G20" s="860"/>
      <c r="H20" s="860"/>
      <c r="I20" s="860"/>
      <c r="J20" s="860"/>
      <c r="K20" s="860"/>
      <c r="L20" s="860"/>
      <c r="M20" s="860"/>
      <c r="N20" s="860"/>
      <c r="O20" s="860"/>
      <c r="P20" s="860"/>
      <c r="Q20" s="860"/>
    </row>
    <row r="21" spans="1:17" ht="11.25" customHeight="1">
      <c r="A21" s="1258" t="s">
        <v>1436</v>
      </c>
      <c r="B21" s="1258"/>
      <c r="C21" s="1258"/>
      <c r="D21" s="1258"/>
      <c r="E21" s="1258"/>
      <c r="F21" s="560">
        <v>533</v>
      </c>
      <c r="G21" s="860"/>
      <c r="H21" s="860"/>
      <c r="I21" s="860"/>
      <c r="J21" s="860"/>
      <c r="K21" s="860"/>
      <c r="L21" s="860"/>
      <c r="M21" s="860"/>
      <c r="N21" s="860"/>
      <c r="O21" s="860"/>
      <c r="P21" s="860"/>
      <c r="Q21" s="860"/>
    </row>
    <row r="22" spans="1:17" ht="11.25" customHeight="1">
      <c r="A22" s="1266" t="s">
        <v>641</v>
      </c>
      <c r="B22" s="1266"/>
      <c r="C22" s="1266"/>
      <c r="D22" s="1266"/>
      <c r="E22" s="465"/>
      <c r="F22" s="537">
        <v>1380</v>
      </c>
      <c r="G22" s="853"/>
      <c r="H22" s="853"/>
      <c r="I22" s="853"/>
      <c r="J22" s="853"/>
      <c r="K22" s="853"/>
      <c r="L22" s="853"/>
      <c r="M22" s="853"/>
      <c r="N22" s="853"/>
      <c r="O22" s="853"/>
      <c r="P22" s="853"/>
      <c r="Q22" s="853"/>
    </row>
    <row r="23" spans="1:17" ht="11.25" customHeight="1">
      <c r="A23" s="1141"/>
      <c r="B23" s="1141"/>
      <c r="C23" s="1141"/>
      <c r="D23" s="1141"/>
      <c r="E23" s="1141"/>
      <c r="F23" s="1141"/>
      <c r="G23" s="860"/>
      <c r="H23" s="860"/>
      <c r="I23" s="860"/>
      <c r="J23" s="860"/>
      <c r="K23" s="860"/>
      <c r="L23" s="860"/>
      <c r="M23" s="860"/>
      <c r="N23" s="860"/>
      <c r="O23" s="860"/>
      <c r="P23" s="860"/>
      <c r="Q23" s="860"/>
    </row>
    <row r="24" spans="1:17" s="1172" customFormat="1" ht="11.25" customHeight="1"/>
    <row r="25" spans="1:17" ht="11.25" customHeight="1">
      <c r="A25" s="1297" t="s">
        <v>208</v>
      </c>
      <c r="B25" s="1297"/>
      <c r="C25" s="1297"/>
      <c r="D25" s="1297"/>
      <c r="E25" s="1297"/>
      <c r="F25" s="1297"/>
      <c r="G25" s="707"/>
      <c r="H25" s="707"/>
      <c r="I25" s="707"/>
      <c r="J25" s="707"/>
      <c r="K25" s="707"/>
      <c r="L25" s="707"/>
      <c r="M25" s="707"/>
      <c r="N25" s="707"/>
      <c r="O25" s="707"/>
      <c r="P25" s="707"/>
      <c r="Q25" s="707"/>
    </row>
    <row r="26" spans="1:17" ht="11.25" customHeight="1">
      <c r="A26" s="737"/>
      <c r="B26" s="737"/>
      <c r="C26" s="737"/>
      <c r="D26" s="737"/>
      <c r="E26" s="737"/>
      <c r="F26" s="737"/>
      <c r="G26" s="739"/>
      <c r="H26" s="739"/>
      <c r="I26" s="739"/>
      <c r="J26" s="739"/>
      <c r="K26" s="739"/>
      <c r="L26" s="739"/>
      <c r="M26" s="739"/>
      <c r="N26" s="739"/>
      <c r="O26" s="739"/>
      <c r="P26" s="739"/>
      <c r="Q26" s="739"/>
    </row>
    <row r="27" spans="1:17" ht="22.5" customHeight="1">
      <c r="A27" s="1279" t="s">
        <v>1270</v>
      </c>
      <c r="B27" s="1279"/>
      <c r="C27" s="1279"/>
      <c r="D27" s="1279"/>
      <c r="E27" s="1279"/>
      <c r="F27" s="1279"/>
    </row>
    <row r="28" spans="1:17" ht="11.25" customHeight="1">
      <c r="A28" s="279"/>
      <c r="B28" s="220"/>
      <c r="C28" s="220"/>
      <c r="D28" s="220"/>
      <c r="E28" s="220"/>
      <c r="F28" s="220"/>
    </row>
    <row r="29" spans="1:17" ht="56.25" customHeight="1">
      <c r="A29" s="1279" t="s">
        <v>1468</v>
      </c>
      <c r="B29" s="1279"/>
      <c r="C29" s="1279"/>
      <c r="D29" s="1279"/>
      <c r="E29" s="1279"/>
      <c r="F29" s="1279"/>
      <c r="P29" s="235"/>
    </row>
    <row r="30" spans="1:17" ht="11.25" customHeight="1">
      <c r="A30" s="279"/>
      <c r="B30" s="220"/>
      <c r="C30" s="220"/>
      <c r="D30" s="220"/>
      <c r="E30" s="220"/>
      <c r="F30" s="220"/>
    </row>
    <row r="31" spans="1:17" ht="45" customHeight="1">
      <c r="A31" s="1279" t="s">
        <v>1381</v>
      </c>
      <c r="B31" s="1279"/>
      <c r="C31" s="1279"/>
      <c r="D31" s="1279"/>
      <c r="E31" s="1279"/>
      <c r="F31" s="1279"/>
    </row>
    <row r="32" spans="1:17" ht="11.25" customHeight="1">
      <c r="A32" s="279"/>
      <c r="B32" s="220"/>
      <c r="C32" s="220"/>
      <c r="D32" s="220"/>
      <c r="E32" s="220"/>
      <c r="F32" s="220"/>
    </row>
    <row r="33" spans="1:17" ht="48.75" customHeight="1">
      <c r="A33" s="1279" t="s">
        <v>1726</v>
      </c>
      <c r="B33" s="1279"/>
      <c r="C33" s="1279"/>
      <c r="D33" s="1279"/>
      <c r="E33" s="1279"/>
      <c r="F33" s="1279"/>
      <c r="G33" s="707"/>
      <c r="H33" s="707"/>
      <c r="I33" s="707"/>
      <c r="J33" s="707"/>
      <c r="K33" s="707"/>
      <c r="L33" s="707"/>
      <c r="M33" s="707"/>
      <c r="N33" s="707"/>
      <c r="O33" s="707"/>
      <c r="P33" s="707"/>
      <c r="Q33" s="707"/>
    </row>
    <row r="34" spans="1:17" ht="11.25" customHeight="1">
      <c r="A34" s="279"/>
      <c r="B34" s="220"/>
      <c r="C34" s="220"/>
      <c r="D34" s="220"/>
      <c r="E34" s="220"/>
      <c r="F34" s="220"/>
      <c r="G34" s="707"/>
      <c r="H34" s="707"/>
      <c r="I34" s="707"/>
      <c r="J34" s="707"/>
      <c r="K34" s="707"/>
      <c r="L34" s="707"/>
      <c r="M34" s="707"/>
      <c r="N34" s="707"/>
      <c r="O34" s="707"/>
      <c r="P34" s="707"/>
      <c r="Q34" s="707"/>
    </row>
    <row r="35" spans="1:17" ht="22.5" customHeight="1">
      <c r="A35" s="1279" t="s">
        <v>1730</v>
      </c>
      <c r="B35" s="1321"/>
      <c r="C35" s="1321"/>
      <c r="D35" s="1321"/>
      <c r="E35" s="1321"/>
      <c r="F35" s="1321"/>
    </row>
    <row r="36" spans="1:17" ht="11.25" customHeight="1">
      <c r="A36" s="294"/>
      <c r="B36" s="295"/>
      <c r="C36" s="295"/>
      <c r="D36" s="295"/>
      <c r="E36" s="295"/>
      <c r="F36" s="295"/>
    </row>
    <row r="37" spans="1:17" ht="11.25" customHeight="1">
      <c r="A37" s="1308" t="s">
        <v>802</v>
      </c>
      <c r="B37" s="1308"/>
      <c r="C37" s="1308"/>
      <c r="D37" s="1308"/>
      <c r="E37" s="1308"/>
      <c r="F37" s="1308"/>
    </row>
    <row r="38" spans="1:17" ht="11.25" customHeight="1">
      <c r="A38" s="738"/>
      <c r="B38" s="738"/>
      <c r="C38" s="738"/>
      <c r="D38" s="738"/>
      <c r="E38" s="738"/>
      <c r="F38" s="738"/>
      <c r="G38" s="739"/>
      <c r="H38" s="739"/>
      <c r="I38" s="739"/>
      <c r="J38" s="739"/>
      <c r="K38" s="739"/>
      <c r="L38" s="739"/>
      <c r="M38" s="739"/>
      <c r="N38" s="739"/>
      <c r="O38" s="739"/>
      <c r="P38" s="739"/>
      <c r="Q38" s="739"/>
    </row>
    <row r="39" spans="1:17" ht="47.25" customHeight="1">
      <c r="A39" s="1279" t="s">
        <v>1727</v>
      </c>
      <c r="B39" s="1321"/>
      <c r="C39" s="1321"/>
      <c r="D39" s="1321"/>
      <c r="E39" s="1321"/>
      <c r="F39" s="1321"/>
    </row>
    <row r="40" spans="1:17" ht="11.25" customHeight="1">
      <c r="A40" s="296"/>
      <c r="B40" s="297"/>
      <c r="C40" s="297"/>
      <c r="D40" s="297"/>
      <c r="E40" s="297"/>
      <c r="F40" s="297"/>
    </row>
    <row r="41" spans="1:17" ht="11.25" customHeight="1">
      <c r="A41" s="718"/>
      <c r="B41" s="516"/>
      <c r="C41" s="719"/>
      <c r="D41" s="719"/>
      <c r="E41" s="1353" t="s">
        <v>972</v>
      </c>
      <c r="F41" s="1353"/>
      <c r="G41" s="1109"/>
    </row>
    <row r="42" spans="1:17" ht="11.25" customHeight="1">
      <c r="A42" s="1348" t="s">
        <v>1435</v>
      </c>
      <c r="B42" s="1348"/>
      <c r="C42" s="1354"/>
      <c r="D42" s="1354"/>
      <c r="E42" s="1354"/>
      <c r="F42" s="1354"/>
      <c r="G42" s="1109"/>
      <c r="H42" s="853"/>
      <c r="I42" s="853"/>
      <c r="J42" s="853"/>
      <c r="K42" s="853"/>
      <c r="L42" s="853"/>
      <c r="M42" s="853"/>
      <c r="N42" s="853"/>
      <c r="O42" s="853"/>
      <c r="P42" s="853"/>
      <c r="Q42" s="853"/>
    </row>
    <row r="43" spans="1:17" ht="11.25" customHeight="1">
      <c r="A43" s="1242" t="s">
        <v>1245</v>
      </c>
      <c r="B43" s="1242"/>
      <c r="C43" s="1349" t="s">
        <v>1583</v>
      </c>
      <c r="D43" s="1349"/>
      <c r="E43" s="1349"/>
      <c r="F43" s="1349"/>
      <c r="G43" s="1109"/>
    </row>
    <row r="44" spans="1:17" ht="11.25" customHeight="1">
      <c r="A44" s="1242" t="s">
        <v>1246</v>
      </c>
      <c r="B44" s="1242"/>
      <c r="C44" s="1349" t="s">
        <v>1645</v>
      </c>
      <c r="D44" s="1349"/>
      <c r="E44" s="1349"/>
      <c r="F44" s="1349"/>
      <c r="G44" s="1109"/>
      <c r="H44" s="647"/>
      <c r="I44" s="647"/>
      <c r="J44" s="647"/>
      <c r="K44" s="647"/>
      <c r="L44" s="647"/>
      <c r="M44" s="647"/>
      <c r="N44" s="647"/>
      <c r="O44" s="647"/>
      <c r="P44" s="647"/>
      <c r="Q44" s="647"/>
    </row>
    <row r="45" spans="1:17" ht="11.25" customHeight="1">
      <c r="A45" s="1242" t="s">
        <v>1247</v>
      </c>
      <c r="B45" s="1242"/>
      <c r="C45" s="1349" t="s">
        <v>1619</v>
      </c>
      <c r="D45" s="1349"/>
      <c r="E45" s="1349"/>
      <c r="F45" s="1349"/>
      <c r="G45" s="1109"/>
    </row>
    <row r="46" spans="1:17" ht="11.25" customHeight="1">
      <c r="A46" s="1281"/>
      <c r="B46" s="1281"/>
      <c r="C46" s="1349"/>
      <c r="D46" s="1349"/>
      <c r="E46" s="1349"/>
      <c r="F46" s="1349"/>
      <c r="G46" s="1109"/>
      <c r="H46" s="647"/>
      <c r="I46" s="647"/>
      <c r="J46" s="647"/>
      <c r="K46" s="647"/>
      <c r="L46" s="647"/>
      <c r="M46" s="647"/>
      <c r="N46" s="647"/>
      <c r="O46" s="647"/>
      <c r="P46" s="647"/>
      <c r="Q46" s="647"/>
    </row>
    <row r="47" spans="1:17" ht="11.25" customHeight="1">
      <c r="A47" s="881" t="s">
        <v>1436</v>
      </c>
      <c r="B47" s="880"/>
      <c r="C47" s="858"/>
      <c r="D47" s="858"/>
      <c r="E47" s="858"/>
      <c r="F47" s="858"/>
      <c r="G47" s="1109"/>
      <c r="H47" s="853"/>
      <c r="I47" s="853"/>
      <c r="J47" s="853"/>
      <c r="K47" s="853"/>
      <c r="L47" s="853"/>
      <c r="M47" s="853"/>
      <c r="N47" s="853"/>
      <c r="O47" s="853"/>
      <c r="P47" s="853"/>
      <c r="Q47" s="853"/>
    </row>
    <row r="48" spans="1:17" ht="11.25" customHeight="1">
      <c r="A48" s="1242" t="s">
        <v>1245</v>
      </c>
      <c r="B48" s="1242"/>
      <c r="C48" s="1349" t="s">
        <v>1584</v>
      </c>
      <c r="D48" s="1349"/>
      <c r="E48" s="1349"/>
      <c r="F48" s="1349"/>
      <c r="G48" s="1109"/>
    </row>
    <row r="49" spans="1:17" ht="11.25" customHeight="1">
      <c r="A49" s="1242" t="s">
        <v>1246</v>
      </c>
      <c r="B49" s="1242"/>
      <c r="C49" s="1349" t="s">
        <v>1585</v>
      </c>
      <c r="D49" s="1349"/>
      <c r="E49" s="1349"/>
      <c r="F49" s="1349"/>
      <c r="G49" s="1109"/>
      <c r="H49" s="853"/>
      <c r="I49" s="853"/>
      <c r="J49" s="853"/>
      <c r="K49" s="853"/>
      <c r="L49" s="853"/>
      <c r="M49" s="853"/>
      <c r="N49" s="853"/>
      <c r="O49" s="853"/>
      <c r="P49" s="853"/>
      <c r="Q49" s="853"/>
    </row>
    <row r="50" spans="1:17" ht="11.25" customHeight="1">
      <c r="A50" s="1242" t="s">
        <v>1247</v>
      </c>
      <c r="B50" s="1242"/>
      <c r="C50" s="1349" t="s">
        <v>1586</v>
      </c>
      <c r="D50" s="1349"/>
      <c r="E50" s="1349"/>
      <c r="F50" s="1349"/>
      <c r="G50" s="1109"/>
      <c r="H50" s="647"/>
      <c r="I50" s="647"/>
      <c r="J50" s="647"/>
      <c r="K50" s="647"/>
      <c r="L50" s="647"/>
      <c r="M50" s="647"/>
      <c r="N50" s="647"/>
      <c r="O50" s="647"/>
      <c r="P50" s="647"/>
      <c r="Q50" s="647"/>
    </row>
    <row r="51" spans="1:17" ht="11.25" customHeight="1">
      <c r="A51" s="298"/>
      <c r="B51" s="297"/>
      <c r="C51" s="297"/>
      <c r="D51" s="297"/>
      <c r="E51" s="297"/>
      <c r="F51" s="297"/>
      <c r="G51" s="1109"/>
    </row>
    <row r="52" spans="1:17" ht="24.75" customHeight="1">
      <c r="A52" s="1279" t="s">
        <v>1026</v>
      </c>
      <c r="B52" s="1321"/>
      <c r="C52" s="1321"/>
      <c r="D52" s="1321"/>
      <c r="E52" s="1321"/>
      <c r="F52" s="1321"/>
    </row>
    <row r="53" spans="1:17" ht="11.25" customHeight="1">
      <c r="A53" s="220"/>
      <c r="B53" s="220"/>
      <c r="C53" s="220"/>
      <c r="D53" s="220"/>
      <c r="E53" s="220"/>
      <c r="F53" s="220"/>
    </row>
    <row r="54" spans="1:17" ht="11.25" customHeight="1">
      <c r="A54" s="220"/>
      <c r="B54" s="220"/>
      <c r="C54" s="220"/>
      <c r="D54" s="220"/>
      <c r="E54" s="220"/>
      <c r="F54" s="220"/>
      <c r="G54" s="885"/>
      <c r="H54" s="885"/>
      <c r="I54" s="885"/>
      <c r="J54" s="885"/>
      <c r="K54" s="885"/>
      <c r="L54" s="885"/>
      <c r="M54" s="885"/>
      <c r="N54" s="885"/>
      <c r="O54" s="885"/>
      <c r="P54" s="885"/>
      <c r="Q54" s="885"/>
    </row>
    <row r="55" spans="1:17" ht="11.25" customHeight="1">
      <c r="A55" s="1350" t="s">
        <v>1615</v>
      </c>
      <c r="B55" s="1350"/>
      <c r="C55" s="1350"/>
      <c r="D55" s="1350"/>
      <c r="E55" s="1350"/>
      <c r="F55" s="1350"/>
      <c r="G55" s="885"/>
      <c r="H55" s="885"/>
      <c r="I55" s="885"/>
      <c r="J55" s="885"/>
      <c r="K55" s="885"/>
      <c r="L55" s="885"/>
      <c r="M55" s="885"/>
      <c r="N55" s="885"/>
      <c r="O55" s="885"/>
      <c r="P55" s="885"/>
      <c r="Q55" s="885"/>
    </row>
    <row r="56" spans="1:17" ht="11.25" customHeight="1">
      <c r="A56" s="884"/>
      <c r="B56" s="888"/>
      <c r="C56" s="888"/>
      <c r="D56" s="888"/>
      <c r="E56" s="888"/>
      <c r="F56" s="888"/>
      <c r="G56" s="885"/>
      <c r="H56" s="885"/>
      <c r="I56" s="885"/>
      <c r="J56" s="885"/>
      <c r="K56" s="885"/>
      <c r="L56" s="885"/>
      <c r="M56" s="885"/>
      <c r="N56" s="885"/>
      <c r="O56" s="885"/>
      <c r="P56" s="885"/>
      <c r="Q56" s="885"/>
    </row>
    <row r="57" spans="1:17" ht="11.25" customHeight="1">
      <c r="A57" s="1347" t="s">
        <v>1217</v>
      </c>
      <c r="B57" s="1347"/>
      <c r="C57" s="1347"/>
      <c r="D57" s="1347"/>
      <c r="E57" s="1347"/>
      <c r="F57" s="1347"/>
      <c r="G57" s="885"/>
      <c r="H57" s="885"/>
      <c r="I57" s="885"/>
      <c r="J57" s="885"/>
      <c r="K57" s="885"/>
      <c r="L57" s="885"/>
      <c r="M57" s="885"/>
      <c r="N57" s="885"/>
      <c r="O57" s="885"/>
      <c r="P57" s="885"/>
      <c r="Q57" s="885"/>
    </row>
    <row r="58" spans="1:17" ht="11.25" customHeight="1">
      <c r="A58" s="884"/>
      <c r="B58" s="888"/>
      <c r="C58" s="888"/>
      <c r="D58" s="888"/>
      <c r="E58" s="888"/>
      <c r="F58" s="888"/>
      <c r="G58" s="885"/>
      <c r="H58" s="885"/>
      <c r="I58" s="885"/>
      <c r="J58" s="885"/>
      <c r="K58" s="885"/>
      <c r="L58" s="885"/>
      <c r="M58" s="885"/>
      <c r="N58" s="885"/>
      <c r="O58" s="885"/>
      <c r="P58" s="885"/>
      <c r="Q58" s="885"/>
    </row>
    <row r="59" spans="1:17" ht="45" customHeight="1">
      <c r="A59" s="1279" t="s">
        <v>1665</v>
      </c>
      <c r="B59" s="1321"/>
      <c r="C59" s="1321"/>
      <c r="D59" s="1321"/>
      <c r="E59" s="1321"/>
      <c r="F59" s="1321"/>
      <c r="G59" s="885"/>
      <c r="H59" s="885"/>
      <c r="I59" s="885"/>
      <c r="J59" s="885"/>
      <c r="K59" s="885"/>
      <c r="L59" s="885"/>
      <c r="M59" s="885"/>
      <c r="N59" s="885"/>
      <c r="O59" s="885"/>
      <c r="P59" s="885"/>
      <c r="Q59" s="885"/>
    </row>
    <row r="60" spans="1:17" ht="11.25" customHeight="1">
      <c r="A60" s="292"/>
      <c r="B60" s="220"/>
      <c r="C60" s="220"/>
      <c r="D60" s="220"/>
      <c r="E60" s="220"/>
      <c r="F60" s="220"/>
      <c r="G60" s="885"/>
      <c r="H60" s="885"/>
      <c r="I60" s="885"/>
      <c r="J60" s="885"/>
      <c r="K60" s="885"/>
      <c r="L60" s="885"/>
      <c r="M60" s="885"/>
      <c r="N60" s="885"/>
      <c r="O60" s="885"/>
      <c r="P60" s="885"/>
      <c r="Q60" s="885"/>
    </row>
    <row r="61" spans="1:17" ht="12" customHeight="1">
      <c r="A61" s="1347" t="s">
        <v>1644</v>
      </c>
      <c r="B61" s="1347"/>
      <c r="C61" s="1347"/>
      <c r="D61" s="1347"/>
      <c r="E61" s="1347"/>
      <c r="F61" s="1347"/>
      <c r="G61" s="885"/>
      <c r="H61" s="885"/>
      <c r="I61" s="885"/>
      <c r="J61" s="885"/>
      <c r="K61" s="885"/>
      <c r="L61" s="885"/>
      <c r="M61" s="885"/>
      <c r="N61" s="885"/>
      <c r="O61" s="885"/>
      <c r="P61" s="885"/>
      <c r="Q61" s="885"/>
    </row>
    <row r="62" spans="1:17" ht="11.25" customHeight="1">
      <c r="A62" s="885"/>
      <c r="B62" s="885"/>
      <c r="C62" s="885"/>
      <c r="D62" s="885"/>
      <c r="E62" s="885"/>
      <c r="F62" s="885"/>
      <c r="G62" s="885"/>
      <c r="H62" s="885"/>
      <c r="I62" s="885"/>
      <c r="J62" s="885"/>
      <c r="K62" s="885"/>
      <c r="L62" s="885"/>
      <c r="M62" s="885"/>
      <c r="N62" s="885"/>
      <c r="O62" s="885"/>
      <c r="P62" s="885"/>
      <c r="Q62" s="885"/>
    </row>
    <row r="63" spans="1:17" ht="11.25" customHeight="1">
      <c r="A63" s="877" t="s">
        <v>700</v>
      </c>
      <c r="B63" s="879"/>
      <c r="C63" s="879"/>
      <c r="D63" s="879"/>
      <c r="E63" s="467"/>
      <c r="F63" s="467">
        <v>2018</v>
      </c>
      <c r="G63" s="885"/>
      <c r="H63" s="885"/>
      <c r="I63" s="885"/>
      <c r="J63" s="885"/>
      <c r="K63" s="885"/>
      <c r="L63" s="885"/>
      <c r="M63" s="885"/>
      <c r="N63" s="885"/>
      <c r="O63" s="885"/>
      <c r="P63" s="885"/>
      <c r="Q63" s="885"/>
    </row>
    <row r="64" spans="1:17" ht="11.25" customHeight="1">
      <c r="A64" s="1237" t="s">
        <v>1380</v>
      </c>
      <c r="B64" s="1237"/>
      <c r="C64" s="439"/>
      <c r="D64" s="439"/>
      <c r="E64" s="473"/>
      <c r="F64" s="473">
        <v>1237</v>
      </c>
      <c r="G64" s="885"/>
      <c r="H64" s="885"/>
      <c r="I64" s="885"/>
      <c r="J64" s="885"/>
      <c r="K64" s="885"/>
      <c r="L64" s="885"/>
      <c r="M64" s="885"/>
      <c r="N64" s="885"/>
      <c r="O64" s="885"/>
      <c r="P64" s="885"/>
      <c r="Q64" s="885"/>
    </row>
    <row r="65" spans="1:17" ht="11.25" customHeight="1">
      <c r="A65" s="1237" t="s">
        <v>1274</v>
      </c>
      <c r="B65" s="1237"/>
      <c r="C65" s="439"/>
      <c r="D65" s="439"/>
      <c r="E65" s="473"/>
      <c r="F65" s="473">
        <v>113</v>
      </c>
      <c r="G65" s="885"/>
      <c r="H65" s="885"/>
      <c r="I65" s="885"/>
      <c r="J65" s="885"/>
      <c r="K65" s="885"/>
      <c r="L65" s="885"/>
      <c r="M65" s="885"/>
      <c r="N65" s="885"/>
      <c r="O65" s="885"/>
      <c r="P65" s="885"/>
      <c r="Q65" s="885"/>
    </row>
    <row r="66" spans="1:17" ht="11.25" customHeight="1">
      <c r="A66" s="1255" t="s">
        <v>791</v>
      </c>
      <c r="B66" s="1255"/>
      <c r="C66" s="1258"/>
      <c r="D66" s="1258"/>
      <c r="E66" s="464"/>
      <c r="F66" s="464">
        <v>4</v>
      </c>
      <c r="G66" s="885"/>
      <c r="H66" s="885"/>
      <c r="I66" s="885"/>
      <c r="J66" s="885"/>
      <c r="K66" s="885"/>
      <c r="L66" s="885"/>
      <c r="M66" s="885"/>
      <c r="N66" s="885"/>
      <c r="O66" s="885"/>
      <c r="P66" s="885"/>
      <c r="Q66" s="885"/>
    </row>
    <row r="67" spans="1:17" ht="11.25" customHeight="1">
      <c r="A67" s="1266" t="s">
        <v>641</v>
      </c>
      <c r="B67" s="1266"/>
      <c r="C67" s="1266"/>
      <c r="D67" s="1266"/>
      <c r="E67" s="462"/>
      <c r="F67" s="462">
        <v>1355</v>
      </c>
      <c r="G67" s="885"/>
      <c r="H67" s="885"/>
      <c r="I67" s="885"/>
      <c r="J67" s="885"/>
      <c r="K67" s="885"/>
      <c r="L67" s="885"/>
      <c r="M67" s="885"/>
      <c r="N67" s="885"/>
      <c r="O67" s="885"/>
      <c r="P67" s="885"/>
      <c r="Q67" s="885"/>
    </row>
    <row r="68" spans="1:17" ht="11.25" customHeight="1">
      <c r="A68" s="889"/>
      <c r="B68" s="220"/>
      <c r="C68" s="220"/>
      <c r="D68" s="220"/>
      <c r="E68" s="253"/>
      <c r="F68" s="220"/>
      <c r="G68" s="885"/>
      <c r="H68" s="885"/>
      <c r="I68" s="885"/>
      <c r="J68" s="885"/>
      <c r="K68" s="885"/>
      <c r="L68" s="885"/>
      <c r="M68" s="885"/>
      <c r="N68" s="885"/>
      <c r="O68" s="885"/>
      <c r="P68" s="885"/>
      <c r="Q68" s="885"/>
    </row>
    <row r="69" spans="1:17" s="1172" customFormat="1" ht="11.25" customHeight="1">
      <c r="A69" s="889"/>
      <c r="B69" s="220"/>
      <c r="C69" s="220"/>
      <c r="D69" s="220"/>
      <c r="E69" s="253"/>
      <c r="F69" s="220"/>
    </row>
    <row r="70" spans="1:17" ht="11.25" customHeight="1">
      <c r="A70" s="1347" t="s">
        <v>208</v>
      </c>
      <c r="B70" s="1347"/>
      <c r="C70" s="1347"/>
      <c r="D70" s="1347"/>
      <c r="E70" s="1347"/>
      <c r="F70" s="1347"/>
      <c r="G70" s="885"/>
      <c r="H70" s="885"/>
      <c r="I70" s="885"/>
      <c r="J70" s="885"/>
      <c r="K70" s="885"/>
      <c r="L70" s="885"/>
      <c r="M70" s="885"/>
      <c r="N70" s="885"/>
      <c r="O70" s="885"/>
      <c r="P70" s="885"/>
      <c r="Q70" s="885"/>
    </row>
    <row r="71" spans="1:17" ht="11.25" customHeight="1">
      <c r="A71" s="884"/>
      <c r="B71" s="884"/>
      <c r="C71" s="884"/>
      <c r="D71" s="884"/>
      <c r="E71" s="884"/>
      <c r="F71" s="884"/>
      <c r="G71" s="885"/>
      <c r="H71" s="885"/>
      <c r="I71" s="885"/>
      <c r="J71" s="885"/>
      <c r="K71" s="885"/>
      <c r="L71" s="885"/>
      <c r="M71" s="885"/>
      <c r="N71" s="885"/>
      <c r="O71" s="885"/>
      <c r="P71" s="885"/>
      <c r="Q71" s="885"/>
    </row>
    <row r="72" spans="1:17" ht="22.5" customHeight="1">
      <c r="A72" s="1299" t="s">
        <v>1270</v>
      </c>
      <c r="B72" s="1246"/>
      <c r="C72" s="1246"/>
      <c r="D72" s="1246"/>
      <c r="E72" s="1246"/>
      <c r="F72" s="1246"/>
      <c r="G72" s="885"/>
      <c r="H72" s="885"/>
      <c r="I72" s="885"/>
      <c r="J72" s="885"/>
      <c r="K72" s="885"/>
      <c r="L72" s="885"/>
      <c r="M72" s="885"/>
      <c r="N72" s="885"/>
      <c r="O72" s="885"/>
      <c r="P72" s="885"/>
      <c r="Q72" s="885"/>
    </row>
    <row r="73" spans="1:17" ht="11.25" customHeight="1">
      <c r="A73" s="886"/>
      <c r="B73" s="228"/>
      <c r="C73" s="228"/>
      <c r="D73" s="228"/>
      <c r="E73" s="228"/>
      <c r="F73" s="228"/>
      <c r="G73" s="885"/>
      <c r="H73" s="885"/>
      <c r="I73" s="885"/>
      <c r="J73" s="885"/>
      <c r="K73" s="885"/>
      <c r="L73" s="885"/>
      <c r="M73" s="885"/>
      <c r="N73" s="885"/>
      <c r="O73" s="885"/>
      <c r="P73" s="885"/>
      <c r="Q73" s="885"/>
    </row>
    <row r="74" spans="1:17" ht="56.25" customHeight="1">
      <c r="A74" s="1299" t="s">
        <v>1242</v>
      </c>
      <c r="B74" s="1246"/>
      <c r="C74" s="1246"/>
      <c r="D74" s="1246"/>
      <c r="E74" s="1246"/>
      <c r="F74" s="1246"/>
      <c r="G74" s="885"/>
      <c r="H74" s="885"/>
      <c r="I74" s="885"/>
      <c r="J74" s="885"/>
      <c r="K74" s="885"/>
      <c r="L74" s="885"/>
      <c r="M74" s="885"/>
      <c r="N74" s="885"/>
      <c r="O74" s="885"/>
      <c r="P74" s="235"/>
      <c r="Q74" s="885"/>
    </row>
    <row r="75" spans="1:17" ht="11.25" customHeight="1">
      <c r="A75" s="886"/>
      <c r="B75" s="228"/>
      <c r="C75" s="228"/>
      <c r="D75" s="228"/>
      <c r="E75" s="228"/>
      <c r="F75" s="228"/>
      <c r="G75" s="885"/>
      <c r="H75" s="885"/>
      <c r="I75" s="885"/>
      <c r="J75" s="885"/>
      <c r="K75" s="885"/>
      <c r="L75" s="885"/>
      <c r="M75" s="885"/>
      <c r="N75" s="885"/>
      <c r="O75" s="885"/>
      <c r="P75" s="885"/>
      <c r="Q75" s="885"/>
    </row>
    <row r="76" spans="1:17" ht="45" customHeight="1">
      <c r="A76" s="1299" t="s">
        <v>1381</v>
      </c>
      <c r="B76" s="1246"/>
      <c r="C76" s="1246"/>
      <c r="D76" s="1246"/>
      <c r="E76" s="1246"/>
      <c r="F76" s="1246"/>
      <c r="G76" s="885"/>
      <c r="H76" s="885"/>
      <c r="I76" s="885"/>
      <c r="J76" s="885"/>
      <c r="K76" s="885"/>
      <c r="L76" s="885"/>
      <c r="M76" s="885"/>
      <c r="N76" s="885"/>
      <c r="O76" s="885"/>
      <c r="P76" s="885"/>
      <c r="Q76" s="885"/>
    </row>
    <row r="77" spans="1:17" ht="11.25" customHeight="1">
      <c r="A77" s="886"/>
      <c r="B77" s="228"/>
      <c r="C77" s="228"/>
      <c r="D77" s="228"/>
      <c r="E77" s="228"/>
      <c r="F77" s="228"/>
      <c r="G77" s="885"/>
      <c r="H77" s="885"/>
      <c r="I77" s="885"/>
      <c r="J77" s="885"/>
      <c r="K77" s="885"/>
      <c r="L77" s="885"/>
      <c r="M77" s="885"/>
      <c r="N77" s="885"/>
      <c r="O77" s="885"/>
      <c r="P77" s="885"/>
      <c r="Q77" s="885"/>
    </row>
    <row r="78" spans="1:17" ht="33.75" customHeight="1">
      <c r="A78" s="1299" t="s">
        <v>1667</v>
      </c>
      <c r="B78" s="1246"/>
      <c r="C78" s="1246"/>
      <c r="D78" s="1246"/>
      <c r="E78" s="1246"/>
      <c r="F78" s="1246"/>
      <c r="G78" s="885"/>
      <c r="H78" s="885"/>
      <c r="I78" s="885"/>
      <c r="J78" s="885"/>
      <c r="K78" s="885"/>
      <c r="L78" s="885"/>
      <c r="M78" s="885"/>
      <c r="N78" s="885"/>
      <c r="O78" s="885"/>
      <c r="P78" s="885"/>
      <c r="Q78" s="885"/>
    </row>
    <row r="79" spans="1:17" ht="11.25" customHeight="1">
      <c r="A79" s="886"/>
      <c r="B79" s="228"/>
      <c r="C79" s="228"/>
      <c r="D79" s="228"/>
      <c r="E79" s="228"/>
      <c r="F79" s="228"/>
      <c r="G79" s="885"/>
      <c r="H79" s="885"/>
      <c r="I79" s="885"/>
      <c r="J79" s="885"/>
      <c r="K79" s="885"/>
      <c r="L79" s="885"/>
      <c r="M79" s="885"/>
      <c r="N79" s="885"/>
      <c r="O79" s="885"/>
      <c r="P79" s="885"/>
      <c r="Q79" s="885"/>
    </row>
    <row r="80" spans="1:17" ht="22.5" customHeight="1">
      <c r="A80" s="1299" t="s">
        <v>1626</v>
      </c>
      <c r="B80" s="1246"/>
      <c r="C80" s="1246"/>
      <c r="D80" s="1246"/>
      <c r="E80" s="1246"/>
      <c r="F80" s="1246"/>
      <c r="G80" s="885"/>
      <c r="H80" s="885"/>
      <c r="I80" s="885"/>
      <c r="J80" s="885"/>
      <c r="K80" s="885"/>
      <c r="L80" s="885"/>
      <c r="M80" s="885"/>
      <c r="N80" s="885"/>
      <c r="O80" s="885"/>
      <c r="P80" s="885"/>
      <c r="Q80" s="885"/>
    </row>
    <row r="81" spans="1:17" ht="11.25" customHeight="1">
      <c r="A81" s="294"/>
      <c r="B81" s="295"/>
      <c r="C81" s="295"/>
      <c r="D81" s="295"/>
      <c r="E81" s="295"/>
      <c r="F81" s="295"/>
      <c r="G81" s="885"/>
      <c r="H81" s="885"/>
      <c r="I81" s="885"/>
      <c r="J81" s="885"/>
      <c r="K81" s="885"/>
      <c r="L81" s="885"/>
      <c r="M81" s="885"/>
      <c r="N81" s="885"/>
      <c r="O81" s="885"/>
      <c r="P81" s="885"/>
      <c r="Q81" s="885"/>
    </row>
    <row r="82" spans="1:17" ht="11.25" customHeight="1">
      <c r="A82" s="1347" t="s">
        <v>802</v>
      </c>
      <c r="B82" s="1347"/>
      <c r="C82" s="1347"/>
      <c r="D82" s="1347"/>
      <c r="E82" s="1347"/>
      <c r="F82" s="1347"/>
      <c r="G82" s="885"/>
      <c r="H82" s="885"/>
      <c r="I82" s="885"/>
      <c r="J82" s="885"/>
      <c r="K82" s="885"/>
      <c r="L82" s="885"/>
      <c r="M82" s="885"/>
      <c r="N82" s="885"/>
      <c r="O82" s="885"/>
      <c r="P82" s="885"/>
      <c r="Q82" s="885"/>
    </row>
    <row r="83" spans="1:17" ht="11.25" customHeight="1">
      <c r="A83" s="738"/>
      <c r="B83" s="738"/>
      <c r="C83" s="738"/>
      <c r="D83" s="738"/>
      <c r="E83" s="738"/>
      <c r="F83" s="738"/>
      <c r="G83" s="885"/>
      <c r="H83" s="885"/>
      <c r="I83" s="885"/>
      <c r="J83" s="885"/>
      <c r="K83" s="885"/>
      <c r="L83" s="885"/>
      <c r="M83" s="885"/>
      <c r="N83" s="885"/>
      <c r="O83" s="885"/>
      <c r="P83" s="885"/>
      <c r="Q83" s="885"/>
    </row>
    <row r="84" spans="1:17" ht="33.75" customHeight="1">
      <c r="A84" s="1299" t="s">
        <v>1666</v>
      </c>
      <c r="B84" s="1246"/>
      <c r="C84" s="1246"/>
      <c r="D84" s="1246"/>
      <c r="E84" s="1246"/>
      <c r="F84" s="1246"/>
      <c r="G84" s="885"/>
      <c r="H84" s="885"/>
      <c r="I84" s="885"/>
      <c r="J84" s="885"/>
      <c r="K84" s="885"/>
      <c r="L84" s="885"/>
      <c r="M84" s="885"/>
      <c r="N84" s="885"/>
      <c r="O84" s="885"/>
      <c r="P84" s="885"/>
      <c r="Q84" s="885"/>
    </row>
    <row r="85" spans="1:17" ht="11.25" customHeight="1">
      <c r="A85" s="890"/>
      <c r="B85" s="887"/>
      <c r="C85" s="887"/>
      <c r="D85" s="887"/>
      <c r="E85" s="887"/>
      <c r="F85" s="887"/>
      <c r="G85" s="885"/>
      <c r="H85" s="885"/>
      <c r="I85" s="885"/>
      <c r="J85" s="885"/>
      <c r="K85" s="885"/>
      <c r="L85" s="885"/>
      <c r="M85" s="885"/>
      <c r="N85" s="885"/>
      <c r="O85" s="885"/>
      <c r="P85" s="885"/>
      <c r="Q85" s="885"/>
    </row>
    <row r="86" spans="1:17" ht="11.25" customHeight="1">
      <c r="A86" s="882"/>
      <c r="B86" s="516"/>
      <c r="C86" s="516"/>
      <c r="D86" s="516"/>
      <c r="E86" s="1346" t="s">
        <v>972</v>
      </c>
      <c r="F86" s="1346"/>
      <c r="G86" s="885"/>
      <c r="H86" s="885"/>
      <c r="I86" s="885"/>
      <c r="J86" s="885"/>
      <c r="K86" s="885"/>
      <c r="L86" s="885"/>
      <c r="M86" s="885"/>
      <c r="N86" s="885"/>
      <c r="O86" s="885"/>
      <c r="P86" s="885"/>
      <c r="Q86" s="885"/>
    </row>
    <row r="87" spans="1:17" ht="11.25" customHeight="1">
      <c r="A87" s="1237" t="s">
        <v>1245</v>
      </c>
      <c r="B87" s="1237"/>
      <c r="C87" s="1345" t="s">
        <v>1325</v>
      </c>
      <c r="D87" s="1345"/>
      <c r="E87" s="1345"/>
      <c r="F87" s="1345"/>
      <c r="G87" s="885"/>
      <c r="H87" s="885"/>
      <c r="I87" s="885"/>
      <c r="J87" s="885"/>
      <c r="K87" s="885"/>
      <c r="L87" s="885"/>
      <c r="M87" s="885"/>
      <c r="N87" s="885"/>
      <c r="O87" s="885"/>
      <c r="P87" s="885"/>
      <c r="Q87" s="885"/>
    </row>
    <row r="88" spans="1:17" ht="11.25" customHeight="1">
      <c r="A88" s="1237" t="s">
        <v>1246</v>
      </c>
      <c r="B88" s="1237"/>
      <c r="C88" s="1345" t="s">
        <v>1326</v>
      </c>
      <c r="D88" s="1345"/>
      <c r="E88" s="1345"/>
      <c r="F88" s="1345"/>
      <c r="G88" s="885"/>
      <c r="H88" s="885"/>
      <c r="I88" s="885"/>
      <c r="J88" s="885"/>
      <c r="K88" s="885"/>
      <c r="L88" s="885"/>
      <c r="M88" s="885"/>
      <c r="N88" s="885"/>
      <c r="O88" s="885"/>
      <c r="P88" s="885"/>
      <c r="Q88" s="885"/>
    </row>
    <row r="89" spans="1:17" ht="11.25" customHeight="1">
      <c r="A89" s="1237" t="s">
        <v>1247</v>
      </c>
      <c r="B89" s="1237"/>
      <c r="C89" s="1345" t="s">
        <v>1327</v>
      </c>
      <c r="D89" s="1345"/>
      <c r="E89" s="1345"/>
      <c r="F89" s="1345"/>
      <c r="G89" s="885"/>
      <c r="H89" s="885"/>
      <c r="I89" s="885"/>
      <c r="J89" s="885"/>
      <c r="K89" s="885"/>
      <c r="L89" s="885"/>
      <c r="M89" s="885"/>
      <c r="N89" s="885"/>
      <c r="O89" s="885"/>
      <c r="P89" s="885"/>
      <c r="Q89" s="885"/>
    </row>
    <row r="90" spans="1:17" ht="11.25" customHeight="1">
      <c r="A90" s="883"/>
      <c r="B90" s="887"/>
      <c r="C90" s="878"/>
      <c r="D90" s="878"/>
      <c r="E90" s="878"/>
      <c r="F90" s="878"/>
      <c r="G90" s="885"/>
      <c r="H90" s="885"/>
      <c r="I90" s="885"/>
      <c r="J90" s="885"/>
      <c r="K90" s="885"/>
      <c r="L90" s="885"/>
      <c r="M90" s="885"/>
      <c r="N90" s="885"/>
      <c r="O90" s="885"/>
      <c r="P90" s="885"/>
      <c r="Q90" s="885"/>
    </row>
    <row r="91" spans="1:17" ht="24.75" customHeight="1">
      <c r="A91" s="1299" t="s">
        <v>1026</v>
      </c>
      <c r="B91" s="1246"/>
      <c r="C91" s="1246"/>
      <c r="D91" s="1246"/>
      <c r="E91" s="1246"/>
      <c r="F91" s="1246"/>
      <c r="G91" s="885"/>
      <c r="H91" s="885"/>
      <c r="I91" s="885"/>
      <c r="J91" s="885"/>
      <c r="K91" s="885"/>
      <c r="L91" s="885"/>
      <c r="M91" s="885"/>
      <c r="N91" s="885"/>
      <c r="O91" s="885"/>
      <c r="P91" s="885"/>
      <c r="Q91" s="885"/>
    </row>
    <row r="92" spans="1:17" ht="11.25" customHeight="1">
      <c r="A92" s="1135"/>
      <c r="B92" s="1133"/>
      <c r="C92" s="1133"/>
      <c r="D92" s="1133"/>
      <c r="E92" s="1133"/>
      <c r="F92" s="1133"/>
      <c r="G92" s="1138"/>
      <c r="H92" s="1138"/>
      <c r="I92" s="1138"/>
      <c r="J92" s="1138"/>
      <c r="K92" s="1138"/>
      <c r="L92" s="1138"/>
      <c r="M92" s="1138"/>
      <c r="N92" s="1138"/>
      <c r="O92" s="1138"/>
      <c r="P92" s="1138"/>
      <c r="Q92" s="1138"/>
    </row>
    <row r="93" spans="1:17" ht="11.25" customHeight="1">
      <c r="A93" s="220"/>
      <c r="B93" s="220"/>
      <c r="C93" s="220"/>
      <c r="D93" s="220"/>
      <c r="E93" s="220"/>
      <c r="F93" s="220"/>
      <c r="G93" s="885"/>
      <c r="H93" s="885"/>
      <c r="I93" s="885"/>
      <c r="J93" s="885"/>
      <c r="K93" s="885"/>
      <c r="L93" s="885"/>
      <c r="M93" s="885"/>
      <c r="N93" s="885"/>
      <c r="O93" s="885"/>
      <c r="P93" s="885"/>
      <c r="Q93" s="885"/>
    </row>
    <row r="94" spans="1:17" ht="11.25" customHeight="1">
      <c r="A94" s="1350" t="s">
        <v>522</v>
      </c>
      <c r="B94" s="1350"/>
      <c r="C94" s="1350"/>
      <c r="D94" s="1350"/>
      <c r="E94" s="1350"/>
      <c r="F94" s="1350"/>
      <c r="G94" s="873"/>
      <c r="H94" s="873"/>
      <c r="I94" s="873"/>
      <c r="J94" s="873"/>
      <c r="K94" s="873"/>
      <c r="L94" s="873"/>
      <c r="M94" s="873"/>
      <c r="N94" s="873"/>
      <c r="O94" s="873"/>
      <c r="P94" s="873"/>
      <c r="Q94" s="873"/>
    </row>
    <row r="95" spans="1:17" ht="11.25" customHeight="1">
      <c r="A95" s="872"/>
      <c r="B95" s="220"/>
      <c r="C95" s="220"/>
      <c r="D95" s="220"/>
      <c r="E95" s="220"/>
      <c r="F95" s="220"/>
      <c r="G95" s="873"/>
      <c r="H95" s="873"/>
      <c r="I95" s="873"/>
      <c r="J95" s="873"/>
      <c r="K95" s="873"/>
      <c r="L95" s="873"/>
      <c r="M95" s="873"/>
      <c r="N95" s="873"/>
      <c r="O95" s="873"/>
      <c r="P95" s="873"/>
      <c r="Q95" s="873"/>
    </row>
    <row r="96" spans="1:17" ht="12.75" customHeight="1">
      <c r="A96" s="742">
        <v>2019</v>
      </c>
      <c r="B96" s="300"/>
      <c r="C96" s="300"/>
      <c r="D96" s="300"/>
      <c r="E96" s="300"/>
      <c r="F96" s="300"/>
    </row>
    <row r="97" spans="1:6" ht="67.5" customHeight="1">
      <c r="A97" s="288" t="s">
        <v>700</v>
      </c>
      <c r="B97" s="626" t="s">
        <v>1168</v>
      </c>
      <c r="C97" s="626" t="s">
        <v>1169</v>
      </c>
      <c r="D97" s="561" t="s">
        <v>899</v>
      </c>
      <c r="E97" s="561" t="s">
        <v>840</v>
      </c>
      <c r="F97" s="561" t="s">
        <v>481</v>
      </c>
    </row>
    <row r="98" spans="1:6" ht="11.25" customHeight="1">
      <c r="A98" s="915" t="s">
        <v>1410</v>
      </c>
      <c r="B98" s="540">
        <v>141</v>
      </c>
      <c r="C98" s="540">
        <v>53</v>
      </c>
      <c r="D98" s="540">
        <v>857</v>
      </c>
      <c r="E98" s="540">
        <v>1361</v>
      </c>
      <c r="F98" s="540">
        <v>2411</v>
      </c>
    </row>
    <row r="99" spans="1:6" ht="11.25" customHeight="1">
      <c r="A99" s="915" t="s">
        <v>791</v>
      </c>
      <c r="B99" s="540"/>
      <c r="C99" s="540"/>
      <c r="D99" s="540">
        <v>11</v>
      </c>
      <c r="E99" s="540">
        <v>26</v>
      </c>
      <c r="F99" s="540">
        <v>37</v>
      </c>
    </row>
    <row r="100" spans="1:6" ht="11.25" customHeight="1">
      <c r="A100" s="915" t="s">
        <v>841</v>
      </c>
      <c r="B100" s="540"/>
      <c r="C100" s="540"/>
      <c r="D100" s="540">
        <v>1</v>
      </c>
      <c r="E100" s="540">
        <v>-1</v>
      </c>
      <c r="F100" s="540"/>
    </row>
    <row r="101" spans="1:6" ht="11.25" customHeight="1">
      <c r="A101" s="915" t="s">
        <v>792</v>
      </c>
      <c r="B101" s="540">
        <v>1</v>
      </c>
      <c r="C101" s="540">
        <v>55</v>
      </c>
      <c r="D101" s="540">
        <v>8</v>
      </c>
      <c r="E101" s="540"/>
      <c r="F101" s="540">
        <v>65</v>
      </c>
    </row>
    <row r="102" spans="1:6" ht="11.25" customHeight="1">
      <c r="A102" s="915" t="s">
        <v>1361</v>
      </c>
      <c r="B102" s="540">
        <v>-1</v>
      </c>
      <c r="C102" s="540"/>
      <c r="D102" s="540">
        <v>-13</v>
      </c>
      <c r="E102" s="540"/>
      <c r="F102" s="540">
        <v>-14</v>
      </c>
    </row>
    <row r="103" spans="1:6" ht="11.25" customHeight="1">
      <c r="A103" s="916" t="s">
        <v>1049</v>
      </c>
      <c r="B103" s="536">
        <v>28</v>
      </c>
      <c r="C103" s="536">
        <v>-24</v>
      </c>
      <c r="D103" s="536">
        <v>-4</v>
      </c>
      <c r="E103" s="536"/>
      <c r="F103" s="536"/>
    </row>
    <row r="104" spans="1:6" ht="11.25" customHeight="1">
      <c r="A104" s="919" t="s">
        <v>1411</v>
      </c>
      <c r="B104" s="540">
        <v>169</v>
      </c>
      <c r="C104" s="540">
        <v>85</v>
      </c>
      <c r="D104" s="540">
        <v>860</v>
      </c>
      <c r="E104" s="540">
        <v>1386</v>
      </c>
      <c r="F104" s="540">
        <v>2500</v>
      </c>
    </row>
    <row r="105" spans="1:6" ht="11.25" customHeight="1">
      <c r="A105" s="915"/>
      <c r="B105" s="540"/>
      <c r="C105" s="540"/>
      <c r="D105" s="540"/>
      <c r="E105" s="540"/>
      <c r="F105" s="540"/>
    </row>
    <row r="106" spans="1:6" ht="11.25" customHeight="1">
      <c r="A106" s="910" t="s">
        <v>1413</v>
      </c>
      <c r="B106" s="540">
        <v>-94</v>
      </c>
      <c r="C106" s="540"/>
      <c r="D106" s="540">
        <v>-565</v>
      </c>
      <c r="E106" s="540">
        <v>-6</v>
      </c>
      <c r="F106" s="540">
        <v>-665</v>
      </c>
    </row>
    <row r="107" spans="1:6" ht="11.25" customHeight="1">
      <c r="A107" s="915" t="s">
        <v>791</v>
      </c>
      <c r="B107" s="540"/>
      <c r="C107" s="540"/>
      <c r="D107" s="540">
        <v>-7</v>
      </c>
      <c r="E107" s="540"/>
      <c r="F107" s="540">
        <v>-8</v>
      </c>
    </row>
    <row r="108" spans="1:6" ht="11.25" customHeight="1">
      <c r="A108" s="915" t="s">
        <v>1362</v>
      </c>
      <c r="B108" s="540"/>
      <c r="C108" s="540"/>
      <c r="D108" s="540">
        <v>11</v>
      </c>
      <c r="E108" s="540"/>
      <c r="F108" s="540">
        <v>11</v>
      </c>
    </row>
    <row r="109" spans="1:6" ht="11.25" customHeight="1">
      <c r="A109" s="1148" t="s">
        <v>1077</v>
      </c>
      <c r="B109" s="536">
        <v>-11</v>
      </c>
      <c r="C109" s="536"/>
      <c r="D109" s="536">
        <v>-52</v>
      </c>
      <c r="E109" s="536"/>
      <c r="F109" s="536">
        <v>-62</v>
      </c>
    </row>
    <row r="110" spans="1:6" ht="11.25" customHeight="1">
      <c r="A110" s="919" t="s">
        <v>1433</v>
      </c>
      <c r="B110" s="540">
        <v>-104</v>
      </c>
      <c r="C110" s="540"/>
      <c r="D110" s="540">
        <v>-613</v>
      </c>
      <c r="E110" s="540">
        <v>-6</v>
      </c>
      <c r="F110" s="540">
        <v>-723</v>
      </c>
    </row>
    <row r="111" spans="1:6" ht="11.25" customHeight="1">
      <c r="A111" s="916"/>
      <c r="B111" s="562"/>
      <c r="C111" s="712"/>
      <c r="D111" s="712"/>
      <c r="E111" s="712"/>
      <c r="F111" s="536"/>
    </row>
    <row r="112" spans="1:6" ht="11.25" customHeight="1">
      <c r="A112" s="917" t="s">
        <v>1412</v>
      </c>
      <c r="B112" s="537">
        <v>65</v>
      </c>
      <c r="C112" s="537">
        <v>85</v>
      </c>
      <c r="D112" s="537">
        <v>247</v>
      </c>
      <c r="E112" s="537">
        <v>1380</v>
      </c>
      <c r="F112" s="537">
        <v>1776</v>
      </c>
    </row>
    <row r="113" spans="1:17" ht="11.25" customHeight="1">
      <c r="A113" s="302"/>
      <c r="B113" s="303"/>
      <c r="C113" s="303"/>
      <c r="D113" s="303"/>
      <c r="E113" s="303"/>
      <c r="F113" s="303"/>
    </row>
    <row r="114" spans="1:17" ht="45" customHeight="1">
      <c r="A114" s="1299" t="s">
        <v>1587</v>
      </c>
      <c r="B114" s="1246"/>
      <c r="C114" s="1246"/>
      <c r="D114" s="1246"/>
      <c r="E114" s="1246"/>
      <c r="F114" s="1246"/>
    </row>
    <row r="115" spans="1:17" ht="11.25" customHeight="1">
      <c r="A115" s="304"/>
      <c r="B115" s="301"/>
      <c r="C115" s="301"/>
      <c r="D115" s="301"/>
      <c r="E115" s="301"/>
      <c r="F115" s="301"/>
    </row>
    <row r="116" spans="1:17" ht="11.25" customHeight="1">
      <c r="A116" s="742">
        <v>2018</v>
      </c>
      <c r="B116" s="300"/>
      <c r="C116" s="300"/>
      <c r="D116" s="300"/>
      <c r="E116" s="300"/>
      <c r="F116" s="300"/>
    </row>
    <row r="117" spans="1:17" ht="66" customHeight="1">
      <c r="A117" s="288" t="s">
        <v>700</v>
      </c>
      <c r="B117" s="627" t="s">
        <v>1168</v>
      </c>
      <c r="C117" s="267" t="s">
        <v>1169</v>
      </c>
      <c r="D117" s="267" t="s">
        <v>899</v>
      </c>
      <c r="E117" s="267" t="s">
        <v>840</v>
      </c>
      <c r="F117" s="267" t="s">
        <v>481</v>
      </c>
    </row>
    <row r="118" spans="1:17" ht="11.25" customHeight="1">
      <c r="A118" s="915" t="s">
        <v>1290</v>
      </c>
      <c r="B118" s="442">
        <v>142</v>
      </c>
      <c r="C118" s="442">
        <v>21</v>
      </c>
      <c r="D118" s="442">
        <v>783</v>
      </c>
      <c r="E118" s="442">
        <v>1243</v>
      </c>
      <c r="F118" s="442">
        <v>2189</v>
      </c>
    </row>
    <row r="119" spans="1:17" ht="11.25" customHeight="1">
      <c r="A119" s="915" t="s">
        <v>791</v>
      </c>
      <c r="B119" s="442"/>
      <c r="C119" s="442"/>
      <c r="D119" s="442">
        <v>-2</v>
      </c>
      <c r="E119" s="442">
        <v>4</v>
      </c>
      <c r="F119" s="442">
        <v>2</v>
      </c>
    </row>
    <row r="120" spans="1:17" ht="11.25" customHeight="1">
      <c r="A120" s="915" t="s">
        <v>1274</v>
      </c>
      <c r="B120" s="442">
        <v>-2</v>
      </c>
      <c r="C120" s="442">
        <v>10</v>
      </c>
      <c r="D120" s="442">
        <v>66</v>
      </c>
      <c r="E120" s="442">
        <v>113</v>
      </c>
      <c r="F120" s="442">
        <v>187</v>
      </c>
      <c r="G120" s="647"/>
      <c r="H120" s="647"/>
      <c r="I120" s="647"/>
      <c r="J120" s="647"/>
      <c r="K120" s="647"/>
      <c r="L120" s="647"/>
      <c r="M120" s="647"/>
      <c r="N120" s="647"/>
      <c r="O120" s="647"/>
      <c r="P120" s="647"/>
      <c r="Q120" s="647"/>
    </row>
    <row r="121" spans="1:17" ht="11.25" customHeight="1">
      <c r="A121" s="915" t="s">
        <v>792</v>
      </c>
      <c r="B121" s="442">
        <v>2</v>
      </c>
      <c r="C121" s="442">
        <v>35</v>
      </c>
      <c r="D121" s="442">
        <v>8</v>
      </c>
      <c r="E121" s="442">
        <v>1</v>
      </c>
      <c r="F121" s="442">
        <v>45</v>
      </c>
    </row>
    <row r="122" spans="1:17" ht="11.25" customHeight="1">
      <c r="A122" s="915" t="s">
        <v>1361</v>
      </c>
      <c r="B122" s="442"/>
      <c r="C122" s="442"/>
      <c r="D122" s="442">
        <v>-12</v>
      </c>
      <c r="E122" s="442">
        <v>-1</v>
      </c>
      <c r="F122" s="442">
        <v>-13</v>
      </c>
    </row>
    <row r="123" spans="1:17" ht="11.25" customHeight="1">
      <c r="A123" s="966" t="s">
        <v>1049</v>
      </c>
      <c r="B123" s="433"/>
      <c r="C123" s="433">
        <v>-13</v>
      </c>
      <c r="D123" s="433">
        <v>13</v>
      </c>
      <c r="E123" s="433"/>
      <c r="F123" s="433"/>
    </row>
    <row r="124" spans="1:17" ht="11.25" customHeight="1">
      <c r="A124" s="919" t="s">
        <v>1291</v>
      </c>
      <c r="B124" s="442">
        <v>141</v>
      </c>
      <c r="C124" s="442">
        <v>53</v>
      </c>
      <c r="D124" s="442">
        <v>857</v>
      </c>
      <c r="E124" s="442">
        <v>1361</v>
      </c>
      <c r="F124" s="442">
        <v>2411</v>
      </c>
    </row>
    <row r="125" spans="1:17" ht="11.25" customHeight="1">
      <c r="A125" s="449"/>
      <c r="B125" s="468"/>
      <c r="C125" s="439"/>
      <c r="D125" s="439"/>
      <c r="E125" s="439"/>
      <c r="F125" s="439"/>
    </row>
    <row r="126" spans="1:17" ht="11.25" customHeight="1">
      <c r="A126" s="915" t="s">
        <v>1292</v>
      </c>
      <c r="B126" s="442">
        <v>-85</v>
      </c>
      <c r="C126" s="442"/>
      <c r="D126" s="442">
        <v>-521</v>
      </c>
      <c r="E126" s="442">
        <v>-6</v>
      </c>
      <c r="F126" s="442">
        <v>-612</v>
      </c>
    </row>
    <row r="127" spans="1:17" ht="11.25" customHeight="1">
      <c r="A127" s="915" t="s">
        <v>791</v>
      </c>
      <c r="B127" s="442"/>
      <c r="C127" s="442"/>
      <c r="D127" s="442">
        <v>1</v>
      </c>
      <c r="E127" s="442"/>
      <c r="F127" s="442">
        <v>1</v>
      </c>
    </row>
    <row r="128" spans="1:17" ht="11.25" customHeight="1">
      <c r="A128" s="915" t="s">
        <v>1362</v>
      </c>
      <c r="B128" s="442">
        <v>2</v>
      </c>
      <c r="C128" s="442"/>
      <c r="D128" s="442">
        <v>12</v>
      </c>
      <c r="E128" s="442">
        <v>1</v>
      </c>
      <c r="F128" s="442">
        <v>15</v>
      </c>
    </row>
    <row r="129" spans="1:17" ht="11.25" customHeight="1">
      <c r="A129" s="915" t="s">
        <v>1077</v>
      </c>
      <c r="B129" s="442">
        <v>-11</v>
      </c>
      <c r="C129" s="442"/>
      <c r="D129" s="442">
        <v>-55</v>
      </c>
      <c r="E129" s="442"/>
      <c r="F129" s="442">
        <v>-66</v>
      </c>
      <c r="G129" s="675"/>
      <c r="H129" s="675"/>
      <c r="I129" s="675"/>
      <c r="J129" s="675"/>
      <c r="K129" s="675"/>
      <c r="L129" s="675"/>
      <c r="M129" s="675"/>
      <c r="N129" s="675"/>
      <c r="O129" s="675"/>
      <c r="P129" s="675"/>
      <c r="Q129" s="675"/>
    </row>
    <row r="130" spans="1:17" ht="11.25" customHeight="1">
      <c r="A130" s="916" t="s">
        <v>673</v>
      </c>
      <c r="B130" s="433"/>
      <c r="C130" s="433"/>
      <c r="D130" s="433">
        <v>-1</v>
      </c>
      <c r="E130" s="433">
        <v>-1</v>
      </c>
      <c r="F130" s="433">
        <v>-2</v>
      </c>
    </row>
    <row r="131" spans="1:17" ht="11.25" customHeight="1">
      <c r="A131" s="918" t="s">
        <v>1294</v>
      </c>
      <c r="B131" s="442">
        <v>-94</v>
      </c>
      <c r="C131" s="442"/>
      <c r="D131" s="442">
        <v>-565</v>
      </c>
      <c r="E131" s="442">
        <v>-6</v>
      </c>
      <c r="F131" s="442">
        <v>-665</v>
      </c>
    </row>
    <row r="132" spans="1:17" ht="11.25" customHeight="1">
      <c r="A132" s="916"/>
      <c r="B132" s="432"/>
      <c r="C132" s="432"/>
      <c r="D132" s="432"/>
      <c r="E132" s="432"/>
      <c r="F132" s="432"/>
    </row>
    <row r="133" spans="1:17" ht="11.25" customHeight="1">
      <c r="A133" s="917" t="s">
        <v>1296</v>
      </c>
      <c r="B133" s="452">
        <v>47</v>
      </c>
      <c r="C133" s="452">
        <v>53</v>
      </c>
      <c r="D133" s="452">
        <v>292</v>
      </c>
      <c r="E133" s="452">
        <v>1355</v>
      </c>
      <c r="F133" s="452">
        <v>1747</v>
      </c>
    </row>
    <row r="134" spans="1:17">
      <c r="A134" s="306"/>
      <c r="B134" s="207"/>
      <c r="C134" s="207"/>
      <c r="D134" s="207"/>
      <c r="E134" s="207"/>
      <c r="F134" s="207"/>
    </row>
    <row r="135" spans="1:17">
      <c r="A135" s="225"/>
      <c r="B135" s="207"/>
      <c r="C135" s="207"/>
      <c r="D135" s="207"/>
      <c r="E135" s="207"/>
      <c r="F135" s="207"/>
    </row>
  </sheetData>
  <mergeCells count="68">
    <mergeCell ref="A19:E19"/>
    <mergeCell ref="C66:D66"/>
    <mergeCell ref="A22:D22"/>
    <mergeCell ref="A114:F114"/>
    <mergeCell ref="A39:F39"/>
    <mergeCell ref="A52:F52"/>
    <mergeCell ref="E41:F41"/>
    <mergeCell ref="C46:F46"/>
    <mergeCell ref="C50:F50"/>
    <mergeCell ref="C44:F44"/>
    <mergeCell ref="C45:F45"/>
    <mergeCell ref="A50:B50"/>
    <mergeCell ref="A49:B49"/>
    <mergeCell ref="C48:F48"/>
    <mergeCell ref="C49:F49"/>
    <mergeCell ref="C42:F42"/>
    <mergeCell ref="A1:F1"/>
    <mergeCell ref="A3:F3"/>
    <mergeCell ref="A15:F15"/>
    <mergeCell ref="E18:F18"/>
    <mergeCell ref="A17:F17"/>
    <mergeCell ref="A13:F13"/>
    <mergeCell ref="A8:E8"/>
    <mergeCell ref="A9:E9"/>
    <mergeCell ref="A10:E10"/>
    <mergeCell ref="A5:E5"/>
    <mergeCell ref="A7:E7"/>
    <mergeCell ref="A94:F94"/>
    <mergeCell ref="A25:F25"/>
    <mergeCell ref="A33:F33"/>
    <mergeCell ref="A27:F27"/>
    <mergeCell ref="A29:F29"/>
    <mergeCell ref="A31:F31"/>
    <mergeCell ref="A35:F35"/>
    <mergeCell ref="A37:F37"/>
    <mergeCell ref="A45:B45"/>
    <mergeCell ref="A46:B46"/>
    <mergeCell ref="A48:B48"/>
    <mergeCell ref="A55:F55"/>
    <mergeCell ref="A57:F57"/>
    <mergeCell ref="A59:F59"/>
    <mergeCell ref="A61:F61"/>
    <mergeCell ref="C87:F87"/>
    <mergeCell ref="A21:E21"/>
    <mergeCell ref="A20:E20"/>
    <mergeCell ref="A74:F74"/>
    <mergeCell ref="A76:F76"/>
    <mergeCell ref="A78:F78"/>
    <mergeCell ref="A42:B42"/>
    <mergeCell ref="C43:F43"/>
    <mergeCell ref="A43:B43"/>
    <mergeCell ref="A44:B44"/>
    <mergeCell ref="A70:F70"/>
    <mergeCell ref="A72:F72"/>
    <mergeCell ref="A91:F91"/>
    <mergeCell ref="A64:B64"/>
    <mergeCell ref="A65:B65"/>
    <mergeCell ref="A66:B66"/>
    <mergeCell ref="A67:D67"/>
    <mergeCell ref="A87:B87"/>
    <mergeCell ref="A88:B88"/>
    <mergeCell ref="A89:B89"/>
    <mergeCell ref="C88:F88"/>
    <mergeCell ref="C89:F89"/>
    <mergeCell ref="A84:F84"/>
    <mergeCell ref="E86:F86"/>
    <mergeCell ref="A80:F80"/>
    <mergeCell ref="A82:F82"/>
  </mergeCells>
  <pageMargins left="0.70866141732283472" right="0.70866141732283472" top="0.74803149606299213" bottom="0.74803149606299213" header="0.31496062992125984" footer="0.31496062992125984"/>
  <pageSetup paperSize="9" scale="85" orientation="portrait" r:id="rId1"/>
  <rowBreaks count="1" manualBreakCount="1">
    <brk id="95" max="5" man="1"/>
  </rowBreaks>
  <customProperties>
    <customPr name="SheetOptions" r:id="rId2"/>
  </customProperties>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7"/>
  <dimension ref="A1:Q43"/>
  <sheetViews>
    <sheetView zoomScaleNormal="100" workbookViewId="0">
      <selection sqref="A1:G1"/>
    </sheetView>
  </sheetViews>
  <sheetFormatPr defaultColWidth="8.6640625" defaultRowHeight="11.25"/>
  <cols>
    <col min="1" max="1" width="61" style="205" customWidth="1"/>
    <col min="2" max="7" width="11.5" style="205" customWidth="1"/>
    <col min="8" max="11" width="3.6640625" style="205" customWidth="1"/>
    <col min="12" max="12" width="3.6640625" style="803" customWidth="1"/>
    <col min="13" max="17" width="3.6640625" style="205" customWidth="1"/>
    <col min="18" max="16384" width="8.6640625" style="1151"/>
  </cols>
  <sheetData>
    <row r="1" spans="1:17" ht="15.75" customHeight="1">
      <c r="A1" s="1252" t="s">
        <v>1668</v>
      </c>
      <c r="B1" s="1355"/>
      <c r="C1" s="1355"/>
      <c r="D1" s="1355"/>
      <c r="E1" s="1355"/>
      <c r="F1" s="1355"/>
      <c r="G1" s="1355"/>
    </row>
    <row r="2" spans="1:17" ht="11.25" customHeight="1">
      <c r="A2" s="292"/>
      <c r="B2" s="308"/>
      <c r="C2" s="308"/>
      <c r="D2" s="308"/>
      <c r="E2" s="308"/>
      <c r="F2" s="308"/>
      <c r="G2" s="308"/>
    </row>
    <row r="3" spans="1:17" ht="12.75" customHeight="1">
      <c r="A3" s="740">
        <v>2019</v>
      </c>
      <c r="B3" s="309"/>
      <c r="C3" s="309"/>
      <c r="D3" s="309"/>
      <c r="E3" s="310"/>
      <c r="F3" s="309"/>
      <c r="G3" s="309"/>
    </row>
    <row r="4" spans="1:17" ht="62.25" customHeight="1">
      <c r="A4" s="450" t="s">
        <v>700</v>
      </c>
      <c r="B4" s="544" t="s">
        <v>900</v>
      </c>
      <c r="C4" s="544" t="s">
        <v>1170</v>
      </c>
      <c r="D4" s="544" t="s">
        <v>1171</v>
      </c>
      <c r="E4" s="544" t="s">
        <v>1169</v>
      </c>
      <c r="F4" s="544" t="s">
        <v>890</v>
      </c>
      <c r="G4" s="544" t="s">
        <v>641</v>
      </c>
    </row>
    <row r="5" spans="1:17">
      <c r="A5" s="915" t="s">
        <v>1410</v>
      </c>
      <c r="B5" s="540">
        <v>31</v>
      </c>
      <c r="C5" s="540">
        <v>297</v>
      </c>
      <c r="D5" s="540">
        <v>780</v>
      </c>
      <c r="E5" s="540">
        <v>40</v>
      </c>
      <c r="F5" s="540">
        <v>24</v>
      </c>
      <c r="G5" s="540">
        <v>1171</v>
      </c>
    </row>
    <row r="6" spans="1:17">
      <c r="A6" s="1108" t="s">
        <v>1669</v>
      </c>
      <c r="B6" s="540"/>
      <c r="C6" s="540">
        <v>-1</v>
      </c>
      <c r="D6" s="540">
        <v>-1</v>
      </c>
      <c r="E6" s="540"/>
      <c r="F6" s="540"/>
      <c r="G6" s="540">
        <v>-2</v>
      </c>
      <c r="H6" s="51"/>
      <c r="I6" s="1109"/>
      <c r="J6" s="1109"/>
      <c r="K6" s="1109"/>
      <c r="L6" s="1109"/>
      <c r="M6" s="1109"/>
      <c r="N6" s="1109"/>
      <c r="O6" s="1109"/>
      <c r="P6" s="1109"/>
      <c r="Q6" s="1109"/>
    </row>
    <row r="7" spans="1:17">
      <c r="A7" s="915" t="s">
        <v>791</v>
      </c>
      <c r="B7" s="540"/>
      <c r="C7" s="540">
        <v>1</v>
      </c>
      <c r="D7" s="540">
        <v>2</v>
      </c>
      <c r="E7" s="540"/>
      <c r="F7" s="540"/>
      <c r="G7" s="540">
        <v>3</v>
      </c>
    </row>
    <row r="8" spans="1:17">
      <c r="A8" s="915" t="s">
        <v>792</v>
      </c>
      <c r="B8" s="540"/>
      <c r="C8" s="540">
        <v>3</v>
      </c>
      <c r="D8" s="540">
        <v>27</v>
      </c>
      <c r="E8" s="540">
        <v>18</v>
      </c>
      <c r="F8" s="540">
        <v>1</v>
      </c>
      <c r="G8" s="540">
        <v>49</v>
      </c>
    </row>
    <row r="9" spans="1:17">
      <c r="A9" s="915" t="s">
        <v>1358</v>
      </c>
      <c r="B9" s="540">
        <v>-1</v>
      </c>
      <c r="C9" s="540">
        <v>-18</v>
      </c>
      <c r="D9" s="540">
        <v>-30</v>
      </c>
      <c r="E9" s="540"/>
      <c r="F9" s="540"/>
      <c r="G9" s="540">
        <v>-50</v>
      </c>
    </row>
    <row r="10" spans="1:17">
      <c r="A10" s="916" t="s">
        <v>1049</v>
      </c>
      <c r="B10" s="536"/>
      <c r="C10" s="536">
        <v>1</v>
      </c>
      <c r="D10" s="536">
        <v>22</v>
      </c>
      <c r="E10" s="536">
        <v>-25</v>
      </c>
      <c r="F10" s="536"/>
      <c r="G10" s="536">
        <v>-2</v>
      </c>
    </row>
    <row r="11" spans="1:17">
      <c r="A11" s="919" t="s">
        <v>1411</v>
      </c>
      <c r="B11" s="540">
        <v>30</v>
      </c>
      <c r="C11" s="540">
        <v>283</v>
      </c>
      <c r="D11" s="540">
        <v>798</v>
      </c>
      <c r="E11" s="540">
        <v>32</v>
      </c>
      <c r="F11" s="540">
        <v>25</v>
      </c>
      <c r="G11" s="540">
        <v>1167</v>
      </c>
    </row>
    <row r="12" spans="1:17">
      <c r="A12" s="915"/>
      <c r="B12" s="540"/>
      <c r="C12" s="540"/>
      <c r="D12" s="540"/>
      <c r="E12" s="540"/>
      <c r="F12" s="540"/>
      <c r="G12" s="540"/>
    </row>
    <row r="13" spans="1:17">
      <c r="A13" s="915" t="s">
        <v>1414</v>
      </c>
      <c r="B13" s="540">
        <v>-1</v>
      </c>
      <c r="C13" s="540">
        <v>-177</v>
      </c>
      <c r="D13" s="540">
        <v>-648</v>
      </c>
      <c r="E13" s="540"/>
      <c r="F13" s="540">
        <v>-21</v>
      </c>
      <c r="G13" s="540">
        <v>-847</v>
      </c>
    </row>
    <row r="14" spans="1:17">
      <c r="A14" s="915" t="s">
        <v>791</v>
      </c>
      <c r="B14" s="540"/>
      <c r="C14" s="540"/>
      <c r="D14" s="540">
        <v>-1</v>
      </c>
      <c r="E14" s="540"/>
      <c r="F14" s="540"/>
      <c r="G14" s="540">
        <v>-1</v>
      </c>
    </row>
    <row r="15" spans="1:17">
      <c r="A15" s="915" t="s">
        <v>1359</v>
      </c>
      <c r="B15" s="540"/>
      <c r="C15" s="540">
        <v>11</v>
      </c>
      <c r="D15" s="540">
        <v>29</v>
      </c>
      <c r="E15" s="540"/>
      <c r="F15" s="540"/>
      <c r="G15" s="540">
        <v>41</v>
      </c>
    </row>
    <row r="16" spans="1:17">
      <c r="A16" s="915" t="s">
        <v>1078</v>
      </c>
      <c r="B16" s="540"/>
      <c r="C16" s="540">
        <v>-13</v>
      </c>
      <c r="D16" s="540">
        <v>-40</v>
      </c>
      <c r="E16" s="540"/>
      <c r="F16" s="540">
        <v>-1</v>
      </c>
      <c r="G16" s="540">
        <v>-54</v>
      </c>
    </row>
    <row r="17" spans="1:17">
      <c r="A17" s="1148" t="s">
        <v>673</v>
      </c>
      <c r="B17" s="536"/>
      <c r="C17" s="536"/>
      <c r="D17" s="536">
        <v>-1</v>
      </c>
      <c r="E17" s="536"/>
      <c r="F17" s="536"/>
      <c r="G17" s="536">
        <v>-1</v>
      </c>
    </row>
    <row r="18" spans="1:17" ht="11.25" customHeight="1">
      <c r="A18" s="918" t="s">
        <v>1536</v>
      </c>
      <c r="B18" s="540">
        <v>-1</v>
      </c>
      <c r="C18" s="540">
        <v>-179</v>
      </c>
      <c r="D18" s="540">
        <v>-659</v>
      </c>
      <c r="E18" s="540"/>
      <c r="F18" s="540">
        <v>-21</v>
      </c>
      <c r="G18" s="540">
        <v>-860</v>
      </c>
    </row>
    <row r="19" spans="1:17">
      <c r="A19" s="916"/>
      <c r="B19" s="536"/>
      <c r="C19" s="536"/>
      <c r="D19" s="536"/>
      <c r="E19" s="536"/>
      <c r="F19" s="536"/>
      <c r="G19" s="536"/>
    </row>
    <row r="20" spans="1:17">
      <c r="A20" s="921" t="s">
        <v>1412</v>
      </c>
      <c r="B20" s="537">
        <v>29</v>
      </c>
      <c r="C20" s="537">
        <v>104</v>
      </c>
      <c r="D20" s="537">
        <v>139</v>
      </c>
      <c r="E20" s="537">
        <v>31</v>
      </c>
      <c r="F20" s="537">
        <v>3</v>
      </c>
      <c r="G20" s="537">
        <v>307</v>
      </c>
    </row>
    <row r="21" spans="1:17" ht="10.35" customHeight="1">
      <c r="A21" s="1053"/>
      <c r="B21" s="664"/>
      <c r="C21" s="665"/>
      <c r="D21" s="665"/>
      <c r="E21" s="665"/>
      <c r="F21" s="665"/>
      <c r="G21" s="665"/>
    </row>
    <row r="22" spans="1:17" ht="10.35" customHeight="1">
      <c r="A22" s="219"/>
      <c r="B22" s="664"/>
      <c r="C22" s="665"/>
      <c r="D22" s="665"/>
      <c r="E22" s="665"/>
      <c r="F22" s="665"/>
      <c r="G22" s="665"/>
    </row>
    <row r="23" spans="1:17" ht="12.75">
      <c r="A23" s="740">
        <v>2018</v>
      </c>
      <c r="B23" s="311"/>
      <c r="C23" s="311"/>
      <c r="D23" s="248"/>
      <c r="E23" s="221"/>
      <c r="F23" s="248"/>
      <c r="G23" s="248"/>
    </row>
    <row r="24" spans="1:17" ht="62.25" customHeight="1">
      <c r="A24" s="288" t="s">
        <v>700</v>
      </c>
      <c r="B24" s="267" t="s">
        <v>900</v>
      </c>
      <c r="C24" s="267" t="s">
        <v>1170</v>
      </c>
      <c r="D24" s="267" t="s">
        <v>1171</v>
      </c>
      <c r="E24" s="267" t="s">
        <v>1169</v>
      </c>
      <c r="F24" s="267" t="s">
        <v>890</v>
      </c>
      <c r="G24" s="267" t="s">
        <v>641</v>
      </c>
    </row>
    <row r="25" spans="1:17">
      <c r="A25" s="910" t="s">
        <v>1290</v>
      </c>
      <c r="B25" s="442">
        <v>43</v>
      </c>
      <c r="C25" s="442">
        <v>313</v>
      </c>
      <c r="D25" s="442">
        <v>787</v>
      </c>
      <c r="E25" s="442">
        <v>18</v>
      </c>
      <c r="F25" s="442">
        <v>23</v>
      </c>
      <c r="G25" s="442">
        <v>1185</v>
      </c>
    </row>
    <row r="26" spans="1:17">
      <c r="A26" s="910" t="s">
        <v>791</v>
      </c>
      <c r="B26" s="442"/>
      <c r="C26" s="442">
        <v>-1</v>
      </c>
      <c r="D26" s="442">
        <v>-1</v>
      </c>
      <c r="E26" s="442"/>
      <c r="F26" s="442"/>
      <c r="G26" s="442">
        <v>-3</v>
      </c>
    </row>
    <row r="27" spans="1:17">
      <c r="A27" s="915" t="s">
        <v>1274</v>
      </c>
      <c r="B27" s="442">
        <v>-9</v>
      </c>
      <c r="C27" s="442">
        <v>-22</v>
      </c>
      <c r="D27" s="442">
        <v>-19</v>
      </c>
      <c r="E27" s="442"/>
      <c r="F27" s="442"/>
      <c r="G27" s="442">
        <v>-50</v>
      </c>
      <c r="H27" s="647"/>
      <c r="I27" s="647"/>
      <c r="J27" s="647"/>
      <c r="K27" s="647"/>
      <c r="M27" s="647"/>
      <c r="N27" s="647"/>
      <c r="O27" s="647"/>
      <c r="P27" s="647"/>
      <c r="Q27" s="647"/>
    </row>
    <row r="28" spans="1:17">
      <c r="A28" s="915" t="s">
        <v>792</v>
      </c>
      <c r="B28" s="442">
        <v>1</v>
      </c>
      <c r="C28" s="442">
        <v>5</v>
      </c>
      <c r="D28" s="442">
        <v>23</v>
      </c>
      <c r="E28" s="442">
        <v>35</v>
      </c>
      <c r="F28" s="442"/>
      <c r="G28" s="442">
        <v>64</v>
      </c>
    </row>
    <row r="29" spans="1:17">
      <c r="A29" s="910" t="s">
        <v>1358</v>
      </c>
      <c r="B29" s="442">
        <v>-4</v>
      </c>
      <c r="C29" s="442">
        <v>-4</v>
      </c>
      <c r="D29" s="442">
        <v>-22</v>
      </c>
      <c r="E29" s="442"/>
      <c r="F29" s="442"/>
      <c r="G29" s="442">
        <v>-30</v>
      </c>
    </row>
    <row r="30" spans="1:17">
      <c r="A30" s="912" t="s">
        <v>1049</v>
      </c>
      <c r="B30" s="433"/>
      <c r="C30" s="433">
        <v>7</v>
      </c>
      <c r="D30" s="433">
        <v>12</v>
      </c>
      <c r="E30" s="433">
        <v>-14</v>
      </c>
      <c r="F30" s="433"/>
      <c r="G30" s="433">
        <v>5</v>
      </c>
    </row>
    <row r="31" spans="1:17">
      <c r="A31" s="918" t="s">
        <v>1291</v>
      </c>
      <c r="B31" s="442">
        <v>31</v>
      </c>
      <c r="C31" s="442">
        <v>297</v>
      </c>
      <c r="D31" s="442">
        <v>780</v>
      </c>
      <c r="E31" s="442">
        <v>40</v>
      </c>
      <c r="F31" s="442">
        <v>24</v>
      </c>
      <c r="G31" s="442">
        <v>1171</v>
      </c>
    </row>
    <row r="32" spans="1:17">
      <c r="A32" s="910"/>
      <c r="B32" s="439"/>
      <c r="C32" s="439"/>
      <c r="D32" s="439"/>
      <c r="E32" s="439"/>
      <c r="F32" s="439"/>
      <c r="G32" s="439"/>
    </row>
    <row r="33" spans="1:17">
      <c r="A33" s="910" t="s">
        <v>1293</v>
      </c>
      <c r="B33" s="442">
        <v>-2</v>
      </c>
      <c r="C33" s="442">
        <v>-172</v>
      </c>
      <c r="D33" s="442">
        <v>-642</v>
      </c>
      <c r="E33" s="442"/>
      <c r="F33" s="442">
        <v>-20</v>
      </c>
      <c r="G33" s="442">
        <v>-835</v>
      </c>
    </row>
    <row r="34" spans="1:17">
      <c r="A34" s="910" t="s">
        <v>791</v>
      </c>
      <c r="B34" s="442"/>
      <c r="C34" s="442">
        <v>1</v>
      </c>
      <c r="D34" s="442">
        <v>1</v>
      </c>
      <c r="E34" s="442"/>
      <c r="F34" s="442"/>
      <c r="G34" s="442">
        <v>1</v>
      </c>
    </row>
    <row r="35" spans="1:17">
      <c r="A35" s="910" t="s">
        <v>1363</v>
      </c>
      <c r="B35" s="442">
        <v>1</v>
      </c>
      <c r="C35" s="442">
        <v>11</v>
      </c>
      <c r="D35" s="442">
        <v>41</v>
      </c>
      <c r="E35" s="442"/>
      <c r="F35" s="442"/>
      <c r="G35" s="442">
        <v>53</v>
      </c>
    </row>
    <row r="36" spans="1:17">
      <c r="A36" s="910" t="s">
        <v>1078</v>
      </c>
      <c r="B36" s="442"/>
      <c r="C36" s="442">
        <v>-16</v>
      </c>
      <c r="D36" s="442">
        <v>-43</v>
      </c>
      <c r="E36" s="442"/>
      <c r="F36" s="442">
        <v>-1</v>
      </c>
      <c r="G36" s="442">
        <v>-60</v>
      </c>
    </row>
    <row r="37" spans="1:17">
      <c r="A37" s="910" t="s">
        <v>673</v>
      </c>
      <c r="B37" s="442"/>
      <c r="C37" s="442"/>
      <c r="D37" s="442">
        <v>-2</v>
      </c>
      <c r="E37" s="442"/>
      <c r="F37" s="442"/>
      <c r="G37" s="442">
        <v>-2</v>
      </c>
      <c r="H37" s="675"/>
      <c r="I37" s="675"/>
      <c r="J37" s="675"/>
      <c r="K37" s="675"/>
      <c r="M37" s="675"/>
      <c r="N37" s="675"/>
      <c r="O37" s="675"/>
      <c r="P37" s="675"/>
      <c r="Q37" s="675"/>
    </row>
    <row r="38" spans="1:17">
      <c r="A38" s="912" t="s">
        <v>1049</v>
      </c>
      <c r="B38" s="433"/>
      <c r="C38" s="433">
        <v>-1</v>
      </c>
      <c r="D38" s="433">
        <v>-4</v>
      </c>
      <c r="E38" s="433"/>
      <c r="F38" s="433"/>
      <c r="G38" s="433">
        <v>-5</v>
      </c>
    </row>
    <row r="39" spans="1:17" ht="11.25" customHeight="1">
      <c r="A39" s="918" t="s">
        <v>1295</v>
      </c>
      <c r="B39" s="442">
        <v>-1</v>
      </c>
      <c r="C39" s="442">
        <v>-177</v>
      </c>
      <c r="D39" s="442">
        <v>-648</v>
      </c>
      <c r="E39" s="442"/>
      <c r="F39" s="442">
        <v>-21</v>
      </c>
      <c r="G39" s="442">
        <v>-847</v>
      </c>
    </row>
    <row r="40" spans="1:17">
      <c r="A40" s="916"/>
      <c r="B40" s="432"/>
      <c r="C40" s="432"/>
      <c r="D40" s="432"/>
      <c r="E40" s="432"/>
      <c r="F40" s="432"/>
      <c r="G40" s="432"/>
    </row>
    <row r="41" spans="1:17">
      <c r="A41" s="921" t="s">
        <v>1296</v>
      </c>
      <c r="B41" s="452">
        <v>30</v>
      </c>
      <c r="C41" s="452">
        <v>120</v>
      </c>
      <c r="D41" s="452">
        <v>132</v>
      </c>
      <c r="E41" s="452">
        <v>39</v>
      </c>
      <c r="F41" s="452">
        <v>3</v>
      </c>
      <c r="G41" s="452">
        <v>324</v>
      </c>
    </row>
    <row r="42" spans="1:17">
      <c r="A42" s="918"/>
      <c r="B42" s="439"/>
      <c r="C42" s="439"/>
      <c r="D42" s="439"/>
      <c r="E42" s="439"/>
      <c r="F42" s="439"/>
      <c r="G42" s="439"/>
    </row>
    <row r="43" spans="1:17" ht="11.25" customHeight="1">
      <c r="A43" s="910" t="s">
        <v>861</v>
      </c>
      <c r="B43" s="442"/>
      <c r="C43" s="442">
        <v>1</v>
      </c>
      <c r="D43" s="442">
        <v>1</v>
      </c>
      <c r="E43" s="442"/>
      <c r="F43" s="442"/>
      <c r="G43" s="442">
        <v>3</v>
      </c>
    </row>
  </sheetData>
  <mergeCells count="1">
    <mergeCell ref="A1:G1"/>
  </mergeCells>
  <pageMargins left="0.7" right="0.7" top="0.75" bottom="0.75" header="0.3" footer="0.3"/>
  <pageSetup scale="87" orientation="portrait" r:id="rId1"/>
  <customProperties>
    <customPr name="SheetOptions" r:id="rId2"/>
  </customProperties>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0CDC0-917B-4007-910F-4362450EED61}">
  <sheetPr codeName="Sheet21"/>
  <dimension ref="A1:Q37"/>
  <sheetViews>
    <sheetView zoomScaleNormal="100" workbookViewId="0">
      <selection sqref="A1:B1"/>
    </sheetView>
  </sheetViews>
  <sheetFormatPr defaultColWidth="9.1640625" defaultRowHeight="11.25"/>
  <cols>
    <col min="1" max="1" width="110" style="812" customWidth="1"/>
    <col min="2" max="2" width="20" style="812" customWidth="1"/>
    <col min="3" max="6" width="3.6640625" style="1023" customWidth="1"/>
    <col min="7" max="12" width="3.6640625" style="1058" customWidth="1"/>
    <col min="13" max="17" width="3.6640625" style="1023" customWidth="1"/>
    <col min="18" max="16384" width="9.1640625" style="1151"/>
  </cols>
  <sheetData>
    <row r="1" spans="1:2" ht="15.75">
      <c r="A1" s="1252" t="s">
        <v>1529</v>
      </c>
      <c r="B1" s="1252"/>
    </row>
    <row r="2" spans="1:2">
      <c r="A2" s="815"/>
      <c r="B2" s="816"/>
    </row>
    <row r="3" spans="1:2">
      <c r="A3" s="1035" t="s">
        <v>700</v>
      </c>
      <c r="B3" s="974">
        <v>2019</v>
      </c>
    </row>
    <row r="4" spans="1:2" ht="11.25" customHeight="1">
      <c r="A4" s="1034" t="s">
        <v>1390</v>
      </c>
      <c r="B4" s="540"/>
    </row>
    <row r="5" spans="1:2">
      <c r="A5" s="1033" t="s">
        <v>1588</v>
      </c>
      <c r="B5" s="540">
        <v>203</v>
      </c>
    </row>
    <row r="6" spans="1:2">
      <c r="A6" s="1033" t="s">
        <v>792</v>
      </c>
      <c r="B6" s="540">
        <v>28</v>
      </c>
    </row>
    <row r="7" spans="1:2">
      <c r="A7" s="1033" t="s">
        <v>504</v>
      </c>
      <c r="B7" s="540">
        <v>-43</v>
      </c>
    </row>
    <row r="8" spans="1:2">
      <c r="A8" s="1041" t="s">
        <v>1391</v>
      </c>
      <c r="B8" s="536">
        <v>-14</v>
      </c>
    </row>
    <row r="9" spans="1:2">
      <c r="A9" s="1034" t="s">
        <v>1412</v>
      </c>
      <c r="B9" s="540">
        <v>174</v>
      </c>
    </row>
    <row r="10" spans="1:2" ht="11.25" customHeight="1">
      <c r="A10" s="1037"/>
      <c r="B10" s="543"/>
    </row>
    <row r="11" spans="1:2">
      <c r="A11" s="1034" t="s">
        <v>1392</v>
      </c>
      <c r="B11" s="543"/>
    </row>
    <row r="12" spans="1:2">
      <c r="A12" s="1033" t="s">
        <v>1588</v>
      </c>
      <c r="B12" s="540">
        <v>12</v>
      </c>
    </row>
    <row r="13" spans="1:2">
      <c r="A13" s="1033" t="s">
        <v>792</v>
      </c>
      <c r="B13" s="540">
        <v>6</v>
      </c>
    </row>
    <row r="14" spans="1:2">
      <c r="A14" s="1033" t="s">
        <v>504</v>
      </c>
      <c r="B14" s="540">
        <v>-6</v>
      </c>
    </row>
    <row r="15" spans="1:2">
      <c r="A15" s="1041" t="s">
        <v>1391</v>
      </c>
      <c r="B15" s="536">
        <v>-1</v>
      </c>
    </row>
    <row r="16" spans="1:2">
      <c r="A16" s="1034" t="s">
        <v>1412</v>
      </c>
      <c r="B16" s="540">
        <v>11</v>
      </c>
    </row>
    <row r="17" spans="1:2" ht="11.25" customHeight="1">
      <c r="A17" s="1037"/>
      <c r="B17" s="543"/>
    </row>
    <row r="18" spans="1:2" s="1211" customFormat="1">
      <c r="A18" s="1209" t="s">
        <v>1393</v>
      </c>
      <c r="B18" s="1210"/>
    </row>
    <row r="19" spans="1:2">
      <c r="A19" s="1033" t="s">
        <v>1588</v>
      </c>
      <c r="B19" s="540">
        <v>215</v>
      </c>
    </row>
    <row r="20" spans="1:2">
      <c r="A20" s="1033" t="s">
        <v>792</v>
      </c>
      <c r="B20" s="540">
        <v>33</v>
      </c>
    </row>
    <row r="21" spans="1:2">
      <c r="A21" s="1033" t="s">
        <v>1394</v>
      </c>
      <c r="B21" s="540">
        <v>2</v>
      </c>
    </row>
    <row r="22" spans="1:2">
      <c r="A22" s="1033" t="s">
        <v>1395</v>
      </c>
      <c r="B22" s="540">
        <v>-49</v>
      </c>
    </row>
    <row r="23" spans="1:2">
      <c r="A23" s="1041" t="s">
        <v>1683</v>
      </c>
      <c r="B23" s="536">
        <v>-13</v>
      </c>
    </row>
    <row r="24" spans="1:2">
      <c r="A24" s="1034" t="s">
        <v>1412</v>
      </c>
      <c r="B24" s="540">
        <v>188</v>
      </c>
    </row>
    <row r="25" spans="1:2">
      <c r="A25" s="1037"/>
      <c r="B25" s="543"/>
    </row>
    <row r="26" spans="1:2">
      <c r="A26" s="1034" t="s">
        <v>1434</v>
      </c>
      <c r="B26" s="543"/>
    </row>
    <row r="27" spans="1:2">
      <c r="A27" s="1167" t="s">
        <v>433</v>
      </c>
      <c r="B27" s="540">
        <v>146</v>
      </c>
    </row>
    <row r="28" spans="1:2">
      <c r="A28" s="1040" t="s">
        <v>434</v>
      </c>
      <c r="B28" s="540">
        <v>42</v>
      </c>
    </row>
    <row r="29" spans="1:2">
      <c r="A29" s="1032"/>
      <c r="B29" s="1032"/>
    </row>
    <row r="30" spans="1:2">
      <c r="A30" s="1032"/>
      <c r="B30" s="1032"/>
    </row>
    <row r="31" spans="1:2">
      <c r="A31" s="1035" t="s">
        <v>700</v>
      </c>
      <c r="B31" s="974">
        <v>2019</v>
      </c>
    </row>
    <row r="32" spans="1:2">
      <c r="A32" s="1034" t="s">
        <v>1396</v>
      </c>
      <c r="B32" s="540"/>
    </row>
    <row r="33" spans="1:2">
      <c r="A33" s="1033" t="s">
        <v>1699</v>
      </c>
      <c r="B33" s="540">
        <v>-49</v>
      </c>
    </row>
    <row r="34" spans="1:2">
      <c r="A34" s="1033" t="s">
        <v>1394</v>
      </c>
      <c r="B34" s="540">
        <v>-5</v>
      </c>
    </row>
    <row r="35" spans="1:2">
      <c r="A35" s="1033" t="s">
        <v>1684</v>
      </c>
      <c r="B35" s="540">
        <v>-32</v>
      </c>
    </row>
    <row r="36" spans="1:2">
      <c r="A36" s="1033" t="s">
        <v>1685</v>
      </c>
      <c r="B36" s="540">
        <v>-6</v>
      </c>
    </row>
    <row r="37" spans="1:2">
      <c r="A37" s="1033" t="s">
        <v>1686</v>
      </c>
      <c r="B37" s="540">
        <v>-4</v>
      </c>
    </row>
  </sheetData>
  <mergeCells count="1">
    <mergeCell ref="A1:B1"/>
  </mergeCells>
  <pageMargins left="0.7" right="0.7" top="0.75" bottom="0.75" header="0.3" footer="0.3"/>
  <pageSetup paperSize="9" scale="85" orientation="portrait" r:id="rId1"/>
  <colBreaks count="1" manualBreakCount="1">
    <brk id="2" max="1048575" man="1"/>
  </colBreaks>
  <customProperties>
    <customPr name="SheetOptions"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dimension ref="A1:Q45"/>
  <sheetViews>
    <sheetView zoomScaleNormal="100" workbookViewId="0">
      <selection sqref="A1:I1"/>
    </sheetView>
  </sheetViews>
  <sheetFormatPr defaultColWidth="8.6640625" defaultRowHeight="11.25"/>
  <cols>
    <col min="1" max="1" width="2.5" style="239" customWidth="1"/>
    <col min="2" max="2" width="45.6640625" style="224" customWidth="1"/>
    <col min="3" max="3" width="11.6640625" style="319" customWidth="1"/>
    <col min="4" max="9" width="11.6640625" style="229" customWidth="1"/>
    <col min="10" max="17" width="3.6640625" style="205" customWidth="1"/>
    <col min="18" max="16384" width="8.6640625" style="1151"/>
  </cols>
  <sheetData>
    <row r="1" spans="1:17" ht="15.75">
      <c r="A1" s="1356" t="s">
        <v>1530</v>
      </c>
      <c r="B1" s="1356"/>
      <c r="C1" s="1356"/>
      <c r="D1" s="1356"/>
      <c r="E1" s="1356"/>
      <c r="F1" s="1356"/>
      <c r="G1" s="1356"/>
      <c r="H1" s="1356"/>
      <c r="I1" s="1356"/>
    </row>
    <row r="2" spans="1:17" ht="11.25" customHeight="1">
      <c r="A2" s="463"/>
      <c r="B2" s="313"/>
      <c r="C2" s="697"/>
      <c r="D2" s="314"/>
      <c r="E2" s="314"/>
      <c r="F2" s="314"/>
      <c r="G2" s="314"/>
      <c r="H2" s="315"/>
      <c r="I2" s="315"/>
    </row>
    <row r="3" spans="1:17">
      <c r="A3" s="1338" t="s">
        <v>700</v>
      </c>
      <c r="B3" s="1338"/>
      <c r="C3" s="290"/>
      <c r="D3" s="321"/>
      <c r="E3" s="321"/>
      <c r="F3" s="321"/>
      <c r="G3" s="321"/>
      <c r="H3" s="550">
        <v>2019</v>
      </c>
      <c r="I3" s="291">
        <v>2018</v>
      </c>
    </row>
    <row r="4" spans="1:17">
      <c r="A4" s="1237" t="s">
        <v>1134</v>
      </c>
      <c r="B4" s="1237"/>
      <c r="C4" s="429"/>
      <c r="D4" s="477"/>
      <c r="E4" s="477"/>
      <c r="F4" s="477"/>
      <c r="G4" s="477"/>
      <c r="H4" s="540">
        <v>66</v>
      </c>
      <c r="I4" s="442">
        <v>83</v>
      </c>
    </row>
    <row r="5" spans="1:17">
      <c r="A5" s="1237" t="s">
        <v>357</v>
      </c>
      <c r="B5" s="1237"/>
      <c r="C5" s="429"/>
      <c r="D5" s="477"/>
      <c r="E5" s="477"/>
      <c r="F5" s="477"/>
      <c r="G5" s="477"/>
      <c r="H5" s="566"/>
      <c r="I5" s="442">
        <v>1</v>
      </c>
    </row>
    <row r="6" spans="1:17">
      <c r="A6" s="1237" t="s">
        <v>31</v>
      </c>
      <c r="B6" s="1237"/>
      <c r="C6" s="429"/>
      <c r="D6" s="477"/>
      <c r="E6" s="477"/>
      <c r="F6" s="477"/>
      <c r="G6" s="477"/>
      <c r="H6" s="566">
        <v>-9</v>
      </c>
      <c r="I6" s="442">
        <v>13</v>
      </c>
    </row>
    <row r="7" spans="1:17">
      <c r="A7" s="1237" t="s">
        <v>319</v>
      </c>
      <c r="B7" s="1237"/>
      <c r="C7" s="429"/>
      <c r="D7" s="477"/>
      <c r="E7" s="477"/>
      <c r="F7" s="477"/>
      <c r="G7" s="477"/>
      <c r="H7" s="566">
        <v>-1</v>
      </c>
      <c r="I7" s="442">
        <v>-17</v>
      </c>
    </row>
    <row r="8" spans="1:17">
      <c r="A8" s="1237" t="s">
        <v>370</v>
      </c>
      <c r="B8" s="1237"/>
      <c r="C8" s="429"/>
      <c r="D8" s="477"/>
      <c r="E8" s="477"/>
      <c r="F8" s="477"/>
      <c r="G8" s="477"/>
      <c r="H8" s="566">
        <v>-1</v>
      </c>
      <c r="I8" s="442">
        <v>-1</v>
      </c>
    </row>
    <row r="9" spans="1:17">
      <c r="A9" s="1281" t="s">
        <v>1340</v>
      </c>
      <c r="B9" s="1281"/>
      <c r="C9" s="1281"/>
      <c r="D9" s="1281"/>
      <c r="E9" s="1281"/>
      <c r="F9" s="1281"/>
      <c r="G9" s="1281"/>
      <c r="H9" s="566"/>
      <c r="I9" s="442">
        <v>-13</v>
      </c>
      <c r="J9" s="789"/>
      <c r="K9" s="789"/>
      <c r="L9" s="789"/>
      <c r="M9" s="789"/>
      <c r="N9" s="789"/>
      <c r="O9" s="789"/>
      <c r="P9" s="789"/>
      <c r="Q9" s="789"/>
    </row>
    <row r="10" spans="1:17">
      <c r="A10" s="1255" t="s">
        <v>1250</v>
      </c>
      <c r="B10" s="1255"/>
      <c r="C10" s="1148"/>
      <c r="D10" s="1159"/>
      <c r="E10" s="1159"/>
      <c r="F10" s="1159"/>
      <c r="G10" s="1159"/>
      <c r="H10" s="741">
        <v>-13</v>
      </c>
      <c r="I10" s="433"/>
      <c r="J10" s="1076"/>
      <c r="K10" s="1076"/>
      <c r="L10" s="1076"/>
      <c r="M10" s="1076"/>
      <c r="N10" s="1076"/>
      <c r="O10" s="1076"/>
      <c r="P10" s="1076"/>
      <c r="Q10" s="1076"/>
    </row>
    <row r="11" spans="1:17">
      <c r="A11" s="1290" t="s">
        <v>1135</v>
      </c>
      <c r="B11" s="1290"/>
      <c r="C11" s="483"/>
      <c r="D11" s="484"/>
      <c r="E11" s="484"/>
      <c r="F11" s="484"/>
      <c r="G11" s="484"/>
      <c r="H11" s="567">
        <v>42</v>
      </c>
      <c r="I11" s="452">
        <v>66</v>
      </c>
    </row>
    <row r="12" spans="1:17">
      <c r="A12" s="279"/>
      <c r="B12" s="279"/>
      <c r="C12" s="285"/>
      <c r="D12" s="281"/>
      <c r="E12" s="281"/>
      <c r="F12" s="281"/>
      <c r="G12" s="281"/>
      <c r="H12" s="281"/>
      <c r="I12" s="281"/>
    </row>
    <row r="13" spans="1:17">
      <c r="A13" s="1352" t="s">
        <v>881</v>
      </c>
      <c r="B13" s="1352"/>
      <c r="C13" s="1352"/>
      <c r="D13" s="1352"/>
      <c r="E13" s="1352"/>
      <c r="F13" s="1352"/>
      <c r="G13" s="1352"/>
      <c r="H13" s="1352"/>
      <c r="I13" s="1352"/>
    </row>
    <row r="14" spans="1:17">
      <c r="A14" s="463"/>
      <c r="B14" s="279"/>
      <c r="C14" s="285"/>
      <c r="D14" s="281"/>
      <c r="E14" s="281"/>
      <c r="F14" s="281"/>
      <c r="G14" s="281"/>
      <c r="H14" s="281"/>
      <c r="I14" s="281"/>
    </row>
    <row r="15" spans="1:17">
      <c r="A15" s="1357">
        <v>2019</v>
      </c>
      <c r="B15" s="1357"/>
      <c r="C15" s="316"/>
      <c r="D15" s="282"/>
      <c r="E15" s="282"/>
      <c r="F15" s="282"/>
      <c r="G15" s="282"/>
      <c r="H15" s="282"/>
      <c r="I15" s="281"/>
      <c r="N15" s="235"/>
    </row>
    <row r="16" spans="1:17" ht="45" customHeight="1">
      <c r="A16" s="1338" t="s">
        <v>700</v>
      </c>
      <c r="B16" s="1338"/>
      <c r="C16" s="322"/>
      <c r="D16" s="548" t="s">
        <v>176</v>
      </c>
      <c r="E16" s="563" t="s">
        <v>534</v>
      </c>
      <c r="F16" s="563" t="s">
        <v>315</v>
      </c>
      <c r="G16" s="548" t="s">
        <v>1382</v>
      </c>
      <c r="H16" s="563" t="s">
        <v>945</v>
      </c>
      <c r="I16" s="563" t="s">
        <v>891</v>
      </c>
    </row>
    <row r="17" spans="1:17" ht="11.25" customHeight="1">
      <c r="A17" s="1241" t="s">
        <v>892</v>
      </c>
      <c r="B17" s="1241"/>
      <c r="C17" s="478"/>
      <c r="D17" s="564"/>
      <c r="E17" s="564"/>
      <c r="F17" s="564"/>
      <c r="G17" s="564"/>
      <c r="H17" s="564"/>
      <c r="I17" s="564"/>
    </row>
    <row r="18" spans="1:17" ht="11.25" customHeight="1">
      <c r="A18" s="1242" t="s">
        <v>657</v>
      </c>
      <c r="B18" s="1242"/>
      <c r="C18" s="915" t="s">
        <v>147</v>
      </c>
      <c r="D18" s="530" t="s">
        <v>816</v>
      </c>
      <c r="E18" s="540">
        <v>39</v>
      </c>
      <c r="F18" s="540">
        <v>19</v>
      </c>
      <c r="G18" s="540">
        <v>20</v>
      </c>
      <c r="H18" s="540">
        <v>30</v>
      </c>
      <c r="I18" s="540">
        <v>2</v>
      </c>
    </row>
    <row r="19" spans="1:17" ht="11.25" customHeight="1">
      <c r="A19" s="1242" t="s">
        <v>290</v>
      </c>
      <c r="B19" s="1242"/>
      <c r="C19" s="910" t="s">
        <v>236</v>
      </c>
      <c r="D19" s="530" t="s">
        <v>816</v>
      </c>
      <c r="E19" s="540">
        <v>71</v>
      </c>
      <c r="F19" s="540">
        <v>68</v>
      </c>
      <c r="G19" s="540">
        <v>3</v>
      </c>
      <c r="H19" s="540">
        <v>19</v>
      </c>
      <c r="I19" s="540">
        <v>-21</v>
      </c>
    </row>
    <row r="20" spans="1:17" ht="11.25" customHeight="1">
      <c r="A20" s="1242" t="s">
        <v>1383</v>
      </c>
      <c r="B20" s="1242"/>
      <c r="C20" s="910" t="s">
        <v>147</v>
      </c>
      <c r="D20" s="530" t="s">
        <v>1100</v>
      </c>
      <c r="E20" s="540">
        <v>11</v>
      </c>
      <c r="F20" s="540">
        <v>2</v>
      </c>
      <c r="G20" s="540">
        <v>9</v>
      </c>
      <c r="H20" s="540">
        <v>9</v>
      </c>
      <c r="I20" s="540"/>
      <c r="J20" s="804"/>
      <c r="K20" s="804"/>
      <c r="L20" s="804"/>
      <c r="M20" s="804"/>
      <c r="N20" s="804"/>
      <c r="O20" s="804"/>
      <c r="P20" s="804"/>
      <c r="Q20" s="804"/>
    </row>
    <row r="21" spans="1:17" ht="11.25" customHeight="1">
      <c r="A21" s="1242" t="s">
        <v>1101</v>
      </c>
      <c r="B21" s="1242"/>
      <c r="C21" s="915" t="s">
        <v>147</v>
      </c>
      <c r="D21" s="530" t="s">
        <v>1100</v>
      </c>
      <c r="E21" s="540">
        <v>96</v>
      </c>
      <c r="F21" s="540">
        <v>20</v>
      </c>
      <c r="G21" s="540">
        <v>76</v>
      </c>
      <c r="H21" s="540">
        <v>78</v>
      </c>
      <c r="I21" s="540">
        <v>1</v>
      </c>
    </row>
    <row r="22" spans="1:17" ht="11.25" customHeight="1">
      <c r="A22" s="1242" t="s">
        <v>57</v>
      </c>
      <c r="B22" s="1242"/>
      <c r="C22" s="915" t="s">
        <v>144</v>
      </c>
      <c r="D22" s="530" t="s">
        <v>816</v>
      </c>
      <c r="E22" s="540">
        <v>1</v>
      </c>
      <c r="F22" s="540">
        <v>1</v>
      </c>
      <c r="G22" s="540"/>
      <c r="H22" s="540">
        <v>1</v>
      </c>
      <c r="I22" s="540"/>
    </row>
    <row r="23" spans="1:17" ht="11.25" customHeight="1">
      <c r="A23" s="1241" t="s">
        <v>893</v>
      </c>
      <c r="B23" s="1241"/>
      <c r="C23" s="915"/>
      <c r="D23" s="565"/>
      <c r="E23" s="540"/>
      <c r="F23" s="540"/>
      <c r="G23" s="540"/>
      <c r="H23" s="540"/>
      <c r="I23" s="540"/>
    </row>
    <row r="24" spans="1:17" ht="11.25" customHeight="1">
      <c r="A24" s="1242" t="s">
        <v>391</v>
      </c>
      <c r="B24" s="1242"/>
      <c r="C24" s="915" t="s">
        <v>392</v>
      </c>
      <c r="D24" s="530" t="s">
        <v>815</v>
      </c>
      <c r="E24" s="540"/>
      <c r="F24" s="540">
        <v>-2</v>
      </c>
      <c r="G24" s="540">
        <v>2</v>
      </c>
      <c r="H24" s="540"/>
      <c r="I24" s="540"/>
    </row>
    <row r="25" spans="1:17" ht="11.25" customHeight="1">
      <c r="A25" s="1242" t="s">
        <v>145</v>
      </c>
      <c r="B25" s="1242"/>
      <c r="C25" s="915" t="s">
        <v>146</v>
      </c>
      <c r="D25" s="530" t="s">
        <v>815</v>
      </c>
      <c r="E25" s="540">
        <v>1</v>
      </c>
      <c r="F25" s="540">
        <v>1</v>
      </c>
      <c r="G25" s="540"/>
      <c r="H25" s="540"/>
      <c r="I25" s="540"/>
    </row>
    <row r="26" spans="1:17">
      <c r="A26" s="463"/>
      <c r="B26" s="219"/>
      <c r="C26" s="219"/>
      <c r="D26" s="281"/>
      <c r="E26" s="281"/>
      <c r="F26" s="281"/>
      <c r="G26" s="281"/>
      <c r="H26" s="281"/>
      <c r="I26" s="282"/>
    </row>
    <row r="27" spans="1:17" ht="45.75" customHeight="1">
      <c r="A27" s="1299" t="s">
        <v>1700</v>
      </c>
      <c r="B27" s="1299"/>
      <c r="C27" s="1299"/>
      <c r="D27" s="1299"/>
      <c r="E27" s="1299"/>
      <c r="F27" s="1299"/>
      <c r="G27" s="1299"/>
      <c r="H27" s="1299"/>
      <c r="I27" s="1299"/>
      <c r="J27" s="647"/>
      <c r="K27" s="647"/>
      <c r="L27" s="647"/>
      <c r="M27" s="647"/>
      <c r="N27" s="647"/>
      <c r="O27" s="647"/>
      <c r="P27" s="647"/>
      <c r="Q27" s="647"/>
    </row>
    <row r="28" spans="1:17" ht="12.75">
      <c r="A28" s="1358"/>
      <c r="B28" s="1358"/>
      <c r="C28" s="1358"/>
      <c r="D28" s="1358"/>
      <c r="E28" s="1358"/>
      <c r="F28" s="1358"/>
      <c r="G28" s="1358"/>
      <c r="H28" s="1358"/>
      <c r="I28" s="1358"/>
      <c r="J28" s="647"/>
      <c r="K28" s="647"/>
      <c r="L28" s="647"/>
      <c r="M28" s="647"/>
      <c r="N28" s="647"/>
      <c r="O28" s="647"/>
      <c r="P28" s="647"/>
      <c r="Q28" s="647"/>
    </row>
    <row r="29" spans="1:17">
      <c r="A29" s="1357">
        <v>2018</v>
      </c>
      <c r="B29" s="1357"/>
      <c r="C29" s="305"/>
      <c r="D29" s="318"/>
      <c r="E29" s="318"/>
      <c r="F29" s="318"/>
      <c r="G29" s="318"/>
      <c r="H29" s="318"/>
      <c r="I29" s="318"/>
    </row>
    <row r="30" spans="1:17" ht="45" customHeight="1">
      <c r="A30" s="1338" t="s">
        <v>700</v>
      </c>
      <c r="B30" s="1338"/>
      <c r="C30" s="322"/>
      <c r="D30" s="289" t="s">
        <v>176</v>
      </c>
      <c r="E30" s="289" t="s">
        <v>534</v>
      </c>
      <c r="F30" s="289" t="s">
        <v>315</v>
      </c>
      <c r="G30" s="289" t="s">
        <v>1382</v>
      </c>
      <c r="H30" s="289" t="s">
        <v>945</v>
      </c>
      <c r="I30" s="289" t="s">
        <v>891</v>
      </c>
    </row>
    <row r="31" spans="1:17" ht="11.25" customHeight="1">
      <c r="A31" s="1241" t="s">
        <v>892</v>
      </c>
      <c r="B31" s="1241"/>
      <c r="C31" s="478"/>
      <c r="D31" s="480"/>
      <c r="E31" s="480"/>
      <c r="F31" s="480"/>
      <c r="G31" s="480"/>
      <c r="H31" s="480"/>
      <c r="I31" s="480"/>
    </row>
    <row r="32" spans="1:17">
      <c r="A32" s="1359" t="s">
        <v>657</v>
      </c>
      <c r="B32" s="1359"/>
      <c r="C32" s="915" t="s">
        <v>147</v>
      </c>
      <c r="D32" s="448" t="s">
        <v>816</v>
      </c>
      <c r="E32" s="968">
        <v>26</v>
      </c>
      <c r="F32" s="968">
        <v>19</v>
      </c>
      <c r="G32" s="968">
        <v>8</v>
      </c>
      <c r="H32" s="968">
        <v>17</v>
      </c>
      <c r="I32" s="968"/>
    </row>
    <row r="33" spans="1:17">
      <c r="A33" s="1359" t="s">
        <v>290</v>
      </c>
      <c r="B33" s="1359"/>
      <c r="C33" s="915" t="s">
        <v>236</v>
      </c>
      <c r="D33" s="448" t="s">
        <v>816</v>
      </c>
      <c r="E33" s="968">
        <v>111</v>
      </c>
      <c r="F33" s="968">
        <v>91</v>
      </c>
      <c r="G33" s="968">
        <v>20</v>
      </c>
      <c r="H33" s="968">
        <v>164</v>
      </c>
      <c r="I33" s="968">
        <v>29</v>
      </c>
    </row>
    <row r="34" spans="1:17">
      <c r="A34" s="1359" t="s">
        <v>1383</v>
      </c>
      <c r="B34" s="1359"/>
      <c r="C34" s="915" t="s">
        <v>147</v>
      </c>
      <c r="D34" s="448" t="s">
        <v>1100</v>
      </c>
      <c r="E34" s="968">
        <v>2</v>
      </c>
      <c r="F34" s="968">
        <v>2</v>
      </c>
      <c r="G34" s="968">
        <v>1</v>
      </c>
      <c r="H34" s="968"/>
      <c r="I34" s="968">
        <v>-1</v>
      </c>
      <c r="J34" s="838"/>
      <c r="K34" s="838"/>
      <c r="L34" s="838"/>
      <c r="M34" s="838"/>
      <c r="N34" s="838"/>
      <c r="O34" s="838"/>
      <c r="P34" s="838"/>
      <c r="Q34" s="838"/>
    </row>
    <row r="35" spans="1:17">
      <c r="A35" s="1359" t="s">
        <v>1101</v>
      </c>
      <c r="B35" s="1359"/>
      <c r="C35" s="915" t="s">
        <v>147</v>
      </c>
      <c r="D35" s="448" t="s">
        <v>1100</v>
      </c>
      <c r="E35" s="968">
        <v>70</v>
      </c>
      <c r="F35" s="968">
        <v>19</v>
      </c>
      <c r="G35" s="968">
        <v>51</v>
      </c>
      <c r="H35" s="968">
        <v>49</v>
      </c>
      <c r="I35" s="968">
        <v>-3</v>
      </c>
      <c r="J35" s="647"/>
      <c r="K35" s="647"/>
      <c r="L35" s="647"/>
      <c r="M35" s="647"/>
      <c r="N35" s="647"/>
      <c r="O35" s="647"/>
      <c r="P35" s="647"/>
      <c r="Q35" s="647"/>
    </row>
    <row r="36" spans="1:17">
      <c r="A36" s="1359" t="s">
        <v>57</v>
      </c>
      <c r="B36" s="1359"/>
      <c r="C36" s="915" t="s">
        <v>144</v>
      </c>
      <c r="D36" s="448" t="s">
        <v>816</v>
      </c>
      <c r="E36" s="968">
        <v>1</v>
      </c>
      <c r="F36" s="968">
        <v>1</v>
      </c>
      <c r="G36" s="968">
        <v>1</v>
      </c>
      <c r="H36" s="968">
        <v>1</v>
      </c>
      <c r="I36" s="968"/>
    </row>
    <row r="37" spans="1:17">
      <c r="A37" s="1360" t="s">
        <v>893</v>
      </c>
      <c r="B37" s="1360"/>
      <c r="C37" s="915"/>
      <c r="D37" s="439"/>
      <c r="E37" s="968"/>
      <c r="F37" s="968"/>
      <c r="G37" s="968"/>
      <c r="H37" s="968"/>
      <c r="I37" s="968"/>
    </row>
    <row r="38" spans="1:17">
      <c r="A38" s="1359" t="s">
        <v>391</v>
      </c>
      <c r="B38" s="1359"/>
      <c r="C38" s="915" t="s">
        <v>392</v>
      </c>
      <c r="D38" s="448" t="s">
        <v>815</v>
      </c>
      <c r="E38" s="968"/>
      <c r="F38" s="968">
        <v>-2</v>
      </c>
      <c r="G38" s="968">
        <v>2</v>
      </c>
      <c r="H38" s="968"/>
      <c r="I38" s="968"/>
    </row>
    <row r="39" spans="1:17">
      <c r="A39" s="1359" t="s">
        <v>145</v>
      </c>
      <c r="B39" s="1359"/>
      <c r="C39" s="915" t="s">
        <v>146</v>
      </c>
      <c r="D39" s="448" t="s">
        <v>815</v>
      </c>
      <c r="E39" s="968">
        <v>1</v>
      </c>
      <c r="F39" s="968">
        <v>1</v>
      </c>
      <c r="G39" s="968"/>
      <c r="H39" s="968">
        <v>1</v>
      </c>
      <c r="I39" s="968"/>
    </row>
    <row r="40" spans="1:17">
      <c r="A40" s="463"/>
      <c r="B40" s="323"/>
      <c r="C40" s="323"/>
      <c r="D40" s="392"/>
      <c r="E40" s="324"/>
      <c r="F40" s="324"/>
      <c r="G40" s="324"/>
      <c r="H40" s="324"/>
      <c r="I40" s="324"/>
    </row>
    <row r="41" spans="1:17">
      <c r="A41" s="242"/>
      <c r="B41" s="390"/>
      <c r="C41" s="391"/>
      <c r="D41" s="348"/>
      <c r="E41" s="283"/>
      <c r="F41" s="283"/>
      <c r="G41" s="283"/>
      <c r="H41" s="283"/>
      <c r="I41" s="283"/>
    </row>
    <row r="42" spans="1:17">
      <c r="B42" s="278"/>
      <c r="C42" s="278"/>
      <c r="D42" s="317"/>
      <c r="E42" s="284"/>
      <c r="F42" s="284"/>
      <c r="H42" s="284"/>
      <c r="I42" s="284"/>
    </row>
    <row r="45" spans="1:17">
      <c r="B45" s="278"/>
      <c r="C45" s="224"/>
      <c r="D45" s="228"/>
      <c r="E45" s="228"/>
      <c r="F45" s="228"/>
      <c r="G45" s="228"/>
      <c r="H45" s="228"/>
      <c r="I45" s="228"/>
    </row>
  </sheetData>
  <mergeCells count="35">
    <mergeCell ref="A33:B33"/>
    <mergeCell ref="A24:B24"/>
    <mergeCell ref="A25:B25"/>
    <mergeCell ref="A20:B20"/>
    <mergeCell ref="A10:B10"/>
    <mergeCell ref="A31:B31"/>
    <mergeCell ref="A30:B30"/>
    <mergeCell ref="A6:B6"/>
    <mergeCell ref="A7:B7"/>
    <mergeCell ref="A8:B8"/>
    <mergeCell ref="A11:B11"/>
    <mergeCell ref="A32:B32"/>
    <mergeCell ref="A9:G9"/>
    <mergeCell ref="A35:B35"/>
    <mergeCell ref="A36:B36"/>
    <mergeCell ref="A34:B34"/>
    <mergeCell ref="A38:B38"/>
    <mergeCell ref="A39:B39"/>
    <mergeCell ref="A37:B37"/>
    <mergeCell ref="A1:I1"/>
    <mergeCell ref="A13:I13"/>
    <mergeCell ref="A15:B15"/>
    <mergeCell ref="A29:B29"/>
    <mergeCell ref="A16:B16"/>
    <mergeCell ref="A17:B17"/>
    <mergeCell ref="A23:B23"/>
    <mergeCell ref="A27:I27"/>
    <mergeCell ref="A28:I28"/>
    <mergeCell ref="A18:B18"/>
    <mergeCell ref="A19:B19"/>
    <mergeCell ref="A21:B21"/>
    <mergeCell ref="A22:B22"/>
    <mergeCell ref="A3:B3"/>
    <mergeCell ref="A4:B4"/>
    <mergeCell ref="A5:B5"/>
  </mergeCells>
  <phoneticPr fontId="0" type="noConversion"/>
  <pageMargins left="0.75" right="0.75" top="1" bottom="1" header="0.5" footer="0.5"/>
  <pageSetup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dimension ref="A1:Q102"/>
  <sheetViews>
    <sheetView zoomScaleNormal="100" workbookViewId="0">
      <selection sqref="A1:G1"/>
    </sheetView>
  </sheetViews>
  <sheetFormatPr defaultColWidth="8.6640625" defaultRowHeight="11.25"/>
  <cols>
    <col min="1" max="1" width="2.5" style="224" customWidth="1"/>
    <col min="2" max="2" width="60.6640625" style="224" customWidth="1"/>
    <col min="3" max="7" width="13.33203125" style="229" customWidth="1"/>
    <col min="8" max="11" width="3.6640625" style="205" customWidth="1"/>
    <col min="12" max="13" width="3.6640625" style="711" customWidth="1"/>
    <col min="14" max="16" width="3.6640625" style="205" customWidth="1"/>
    <col min="17" max="17" width="3.5" style="205" customWidth="1"/>
    <col min="18" max="16384" width="8.6640625" style="1151"/>
  </cols>
  <sheetData>
    <row r="1" spans="1:17" ht="15.75">
      <c r="A1" s="1252" t="s">
        <v>1531</v>
      </c>
      <c r="B1" s="1366"/>
      <c r="C1" s="1366"/>
      <c r="D1" s="1366"/>
      <c r="E1" s="1366"/>
      <c r="F1" s="1366"/>
      <c r="G1" s="1366"/>
    </row>
    <row r="2" spans="1:17">
      <c r="A2" s="218"/>
      <c r="B2" s="219"/>
      <c r="C2" s="300"/>
      <c r="D2" s="300"/>
      <c r="E2" s="300"/>
      <c r="F2" s="300"/>
      <c r="G2" s="300"/>
    </row>
    <row r="3" spans="1:17" ht="11.25" customHeight="1">
      <c r="A3" s="1361">
        <v>2019</v>
      </c>
      <c r="B3" s="1362"/>
      <c r="C3" s="221"/>
      <c r="D3" s="221"/>
      <c r="E3" s="221"/>
      <c r="F3" s="221"/>
      <c r="G3" s="221"/>
    </row>
    <row r="4" spans="1:17" ht="90" customHeight="1">
      <c r="A4" s="1338" t="s">
        <v>700</v>
      </c>
      <c r="B4" s="1368"/>
      <c r="C4" s="626" t="s">
        <v>1207</v>
      </c>
      <c r="D4" s="626" t="s">
        <v>1208</v>
      </c>
      <c r="E4" s="626" t="s">
        <v>1209</v>
      </c>
      <c r="F4" s="561" t="s">
        <v>901</v>
      </c>
      <c r="G4" s="561" t="s">
        <v>902</v>
      </c>
    </row>
    <row r="5" spans="1:17" ht="11.25" customHeight="1">
      <c r="A5" s="1241" t="s">
        <v>794</v>
      </c>
      <c r="B5" s="1241"/>
      <c r="C5" s="570"/>
      <c r="D5" s="570"/>
      <c r="E5" s="570"/>
      <c r="F5" s="570"/>
      <c r="G5" s="570"/>
    </row>
    <row r="6" spans="1:17">
      <c r="A6" s="1242" t="s">
        <v>336</v>
      </c>
      <c r="B6" s="1242"/>
      <c r="C6" s="540"/>
      <c r="D6" s="540">
        <v>1</v>
      </c>
      <c r="E6" s="540"/>
      <c r="F6" s="540">
        <v>1</v>
      </c>
      <c r="G6" s="540">
        <v>1</v>
      </c>
    </row>
    <row r="7" spans="1:17">
      <c r="A7" s="1359" t="s">
        <v>338</v>
      </c>
      <c r="B7" s="1359"/>
      <c r="C7" s="540">
        <v>19</v>
      </c>
      <c r="D7" s="540"/>
      <c r="E7" s="540"/>
      <c r="F7" s="540">
        <v>19</v>
      </c>
      <c r="G7" s="540">
        <v>19</v>
      </c>
      <c r="H7" s="810"/>
      <c r="I7" s="810"/>
      <c r="J7" s="810"/>
      <c r="K7" s="810"/>
      <c r="L7" s="810"/>
      <c r="M7" s="810"/>
      <c r="N7" s="810"/>
      <c r="O7" s="810"/>
      <c r="P7" s="810"/>
      <c r="Q7" s="810"/>
    </row>
    <row r="8" spans="1:17">
      <c r="A8" s="1359" t="s">
        <v>51</v>
      </c>
      <c r="B8" s="1359"/>
      <c r="C8" s="540"/>
      <c r="D8" s="540">
        <v>5</v>
      </c>
      <c r="E8" s="540"/>
      <c r="F8" s="540">
        <v>5</v>
      </c>
      <c r="G8" s="540">
        <v>5</v>
      </c>
      <c r="H8" s="811"/>
      <c r="I8" s="811"/>
      <c r="J8" s="811"/>
      <c r="K8" s="811"/>
      <c r="L8" s="811"/>
      <c r="M8" s="811"/>
      <c r="N8" s="811"/>
      <c r="O8" s="811"/>
      <c r="P8" s="811"/>
      <c r="Q8" s="811"/>
    </row>
    <row r="9" spans="1:17">
      <c r="A9" s="1359" t="s">
        <v>159</v>
      </c>
      <c r="B9" s="1359"/>
      <c r="C9" s="540"/>
      <c r="D9" s="540">
        <v>18</v>
      </c>
      <c r="E9" s="540"/>
      <c r="F9" s="540">
        <v>18</v>
      </c>
      <c r="G9" s="540">
        <v>18</v>
      </c>
      <c r="H9" s="701"/>
      <c r="I9" s="701"/>
      <c r="J9" s="701"/>
      <c r="K9" s="701"/>
      <c r="N9" s="701"/>
      <c r="O9" s="701"/>
      <c r="P9" s="701"/>
      <c r="Q9" s="701"/>
    </row>
    <row r="10" spans="1:17">
      <c r="A10" s="1242" t="s">
        <v>524</v>
      </c>
      <c r="B10" s="1242"/>
      <c r="C10" s="540">
        <v>2</v>
      </c>
      <c r="D10" s="540"/>
      <c r="E10" s="540"/>
      <c r="F10" s="540">
        <v>2</v>
      </c>
      <c r="G10" s="540">
        <v>2</v>
      </c>
    </row>
    <row r="11" spans="1:17">
      <c r="A11" s="1241" t="s">
        <v>795</v>
      </c>
      <c r="B11" s="1241"/>
      <c r="C11" s="1110"/>
      <c r="D11" s="1110"/>
      <c r="E11" s="540"/>
      <c r="F11" s="1110"/>
      <c r="G11" s="1110"/>
    </row>
    <row r="12" spans="1:17">
      <c r="A12" s="1242" t="s">
        <v>338</v>
      </c>
      <c r="B12" s="1242"/>
      <c r="C12" s="540">
        <v>1232</v>
      </c>
      <c r="D12" s="540"/>
      <c r="E12" s="540"/>
      <c r="F12" s="540">
        <v>1232</v>
      </c>
      <c r="G12" s="540">
        <v>1232</v>
      </c>
    </row>
    <row r="13" spans="1:17">
      <c r="A13" s="1359" t="s">
        <v>1206</v>
      </c>
      <c r="B13" s="1359"/>
      <c r="C13" s="540"/>
      <c r="D13" s="540">
        <v>4</v>
      </c>
      <c r="E13" s="540"/>
      <c r="F13" s="540">
        <v>4</v>
      </c>
      <c r="G13" s="540">
        <v>4</v>
      </c>
      <c r="H13" s="701"/>
      <c r="I13" s="701"/>
      <c r="J13" s="701"/>
      <c r="K13" s="701"/>
      <c r="N13" s="701"/>
      <c r="O13" s="701"/>
      <c r="P13" s="701"/>
      <c r="Q13" s="701"/>
    </row>
    <row r="14" spans="1:17">
      <c r="A14" s="1242" t="s">
        <v>51</v>
      </c>
      <c r="B14" s="1242"/>
      <c r="C14" s="540"/>
      <c r="D14" s="540">
        <v>5</v>
      </c>
      <c r="E14" s="540">
        <v>14</v>
      </c>
      <c r="F14" s="540">
        <v>18</v>
      </c>
      <c r="G14" s="540">
        <v>18</v>
      </c>
    </row>
    <row r="15" spans="1:17">
      <c r="A15" s="1359" t="s">
        <v>1282</v>
      </c>
      <c r="B15" s="1359"/>
      <c r="C15" s="540">
        <v>6</v>
      </c>
      <c r="D15" s="540"/>
      <c r="E15" s="540"/>
      <c r="F15" s="540">
        <v>6</v>
      </c>
      <c r="G15" s="540">
        <v>6</v>
      </c>
    </row>
    <row r="16" spans="1:17">
      <c r="A16" s="1364" t="s">
        <v>528</v>
      </c>
      <c r="B16" s="1364"/>
      <c r="C16" s="536" t="s">
        <v>1710</v>
      </c>
      <c r="D16" s="536">
        <v>15</v>
      </c>
      <c r="E16" s="536"/>
      <c r="F16" s="536">
        <v>358</v>
      </c>
      <c r="G16" s="536">
        <v>358</v>
      </c>
    </row>
    <row r="17" spans="1:17" ht="11.25" customHeight="1">
      <c r="A17" s="1290" t="s">
        <v>1271</v>
      </c>
      <c r="B17" s="1290"/>
      <c r="C17" s="537">
        <v>1600</v>
      </c>
      <c r="D17" s="537">
        <v>48</v>
      </c>
      <c r="E17" s="537">
        <v>14</v>
      </c>
      <c r="F17" s="537">
        <v>1662</v>
      </c>
      <c r="G17" s="537">
        <v>1662</v>
      </c>
    </row>
    <row r="18" spans="1:17">
      <c r="A18" s="449"/>
      <c r="B18" s="449"/>
      <c r="C18" s="543"/>
      <c r="D18" s="543"/>
      <c r="E18" s="543"/>
      <c r="F18" s="543"/>
      <c r="G18" s="543"/>
    </row>
    <row r="19" spans="1:17">
      <c r="A19" s="1241" t="s">
        <v>105</v>
      </c>
      <c r="B19" s="1241"/>
      <c r="C19" s="570"/>
      <c r="D19" s="570"/>
      <c r="E19" s="570"/>
      <c r="F19" s="570"/>
      <c r="G19" s="570"/>
    </row>
    <row r="20" spans="1:17">
      <c r="A20" s="1242" t="s">
        <v>645</v>
      </c>
      <c r="B20" s="1242"/>
      <c r="C20" s="540">
        <v>997</v>
      </c>
      <c r="D20" s="540"/>
      <c r="E20" s="540"/>
      <c r="F20" s="540">
        <v>997</v>
      </c>
      <c r="G20" s="540">
        <v>1005</v>
      </c>
    </row>
    <row r="21" spans="1:17">
      <c r="A21" s="1359" t="s">
        <v>51</v>
      </c>
      <c r="B21" s="1359"/>
      <c r="C21" s="540"/>
      <c r="D21" s="540">
        <v>14</v>
      </c>
      <c r="E21" s="540">
        <v>2</v>
      </c>
      <c r="F21" s="540">
        <v>16</v>
      </c>
      <c r="G21" s="540">
        <v>16</v>
      </c>
      <c r="H21" s="811"/>
      <c r="I21" s="811"/>
      <c r="J21" s="811"/>
      <c r="K21" s="811"/>
      <c r="L21" s="811"/>
      <c r="M21" s="811"/>
      <c r="N21" s="811"/>
      <c r="O21" s="811"/>
      <c r="P21" s="811"/>
      <c r="Q21" s="811"/>
    </row>
    <row r="22" spans="1:17">
      <c r="A22" s="1241" t="s">
        <v>106</v>
      </c>
      <c r="B22" s="1241"/>
      <c r="C22" s="570"/>
      <c r="D22" s="570"/>
      <c r="E22" s="570"/>
      <c r="F22" s="570"/>
      <c r="G22" s="570"/>
    </row>
    <row r="23" spans="1:17">
      <c r="A23" s="1242" t="s">
        <v>645</v>
      </c>
      <c r="B23" s="1242"/>
      <c r="C23" s="540">
        <v>99</v>
      </c>
      <c r="D23" s="540"/>
      <c r="E23" s="540"/>
      <c r="F23" s="540">
        <v>99</v>
      </c>
      <c r="G23" s="540">
        <v>99</v>
      </c>
    </row>
    <row r="24" spans="1:17">
      <c r="A24" s="1242" t="s">
        <v>344</v>
      </c>
      <c r="B24" s="1242"/>
      <c r="C24" s="540">
        <v>624</v>
      </c>
      <c r="D24" s="540"/>
      <c r="E24" s="540"/>
      <c r="F24" s="540">
        <v>624</v>
      </c>
      <c r="G24" s="540">
        <v>624</v>
      </c>
    </row>
    <row r="25" spans="1:17">
      <c r="A25" s="1242" t="s">
        <v>51</v>
      </c>
      <c r="B25" s="1242"/>
      <c r="C25" s="540"/>
      <c r="D25" s="540">
        <v>1</v>
      </c>
      <c r="E25" s="540">
        <v>6</v>
      </c>
      <c r="F25" s="540">
        <v>7</v>
      </c>
      <c r="G25" s="540">
        <v>7</v>
      </c>
    </row>
    <row r="26" spans="1:17">
      <c r="A26" s="1364" t="s">
        <v>1283</v>
      </c>
      <c r="B26" s="1364"/>
      <c r="C26" s="536">
        <v>4</v>
      </c>
      <c r="D26" s="536"/>
      <c r="E26" s="536"/>
      <c r="F26" s="536">
        <v>4</v>
      </c>
      <c r="G26" s="536">
        <v>4</v>
      </c>
    </row>
    <row r="27" spans="1:17" ht="11.25" customHeight="1">
      <c r="A27" s="1290" t="s">
        <v>1271</v>
      </c>
      <c r="B27" s="1367"/>
      <c r="C27" s="537">
        <v>1724</v>
      </c>
      <c r="D27" s="537">
        <v>15</v>
      </c>
      <c r="E27" s="537">
        <v>8</v>
      </c>
      <c r="F27" s="537">
        <v>1747</v>
      </c>
      <c r="G27" s="537">
        <v>1756</v>
      </c>
    </row>
    <row r="28" spans="1:17" ht="11.25" customHeight="1">
      <c r="A28" s="604"/>
      <c r="B28" s="297"/>
      <c r="C28" s="220"/>
      <c r="D28" s="220"/>
      <c r="E28" s="220"/>
      <c r="F28" s="220"/>
      <c r="G28" s="220"/>
    </row>
    <row r="29" spans="1:17" s="1193" customFormat="1" ht="11.25" customHeight="1">
      <c r="A29" s="1365" t="s">
        <v>1711</v>
      </c>
      <c r="B29" s="1365"/>
      <c r="C29" s="1365"/>
      <c r="D29" s="1365"/>
      <c r="E29" s="1365"/>
      <c r="F29" s="1365"/>
      <c r="G29" s="1365"/>
    </row>
    <row r="30" spans="1:17" s="1172" customFormat="1" ht="11.25" customHeight="1">
      <c r="A30" s="604"/>
      <c r="B30" s="1175"/>
      <c r="C30" s="220"/>
      <c r="D30" s="220"/>
      <c r="E30" s="220"/>
      <c r="F30" s="220"/>
      <c r="G30" s="220"/>
    </row>
    <row r="31" spans="1:17">
      <c r="A31" s="1361">
        <v>2018</v>
      </c>
      <c r="B31" s="1362"/>
      <c r="C31" s="221"/>
      <c r="D31" s="221"/>
      <c r="E31" s="221"/>
      <c r="F31" s="221"/>
      <c r="G31" s="221"/>
    </row>
    <row r="32" spans="1:17" ht="90" customHeight="1">
      <c r="A32" s="1369" t="s">
        <v>700</v>
      </c>
      <c r="B32" s="1370"/>
      <c r="C32" s="627" t="s">
        <v>1207</v>
      </c>
      <c r="D32" s="627" t="s">
        <v>1208</v>
      </c>
      <c r="E32" s="627" t="s">
        <v>1209</v>
      </c>
      <c r="F32" s="267" t="s">
        <v>901</v>
      </c>
      <c r="G32" s="267" t="s">
        <v>902</v>
      </c>
    </row>
    <row r="33" spans="1:17">
      <c r="A33" s="1371" t="s">
        <v>794</v>
      </c>
      <c r="B33" s="1371"/>
      <c r="C33" s="1111"/>
      <c r="D33" s="1111"/>
      <c r="E33" s="1111"/>
      <c r="F33" s="1111"/>
      <c r="G33" s="1111"/>
    </row>
    <row r="34" spans="1:17">
      <c r="A34" s="1242" t="s">
        <v>336</v>
      </c>
      <c r="B34" s="1242"/>
      <c r="C34" s="442"/>
      <c r="D34" s="442">
        <v>3</v>
      </c>
      <c r="E34" s="442"/>
      <c r="F34" s="442">
        <v>3</v>
      </c>
      <c r="G34" s="442">
        <v>3</v>
      </c>
    </row>
    <row r="35" spans="1:17">
      <c r="A35" s="1359" t="s">
        <v>338</v>
      </c>
      <c r="B35" s="1359"/>
      <c r="C35" s="442">
        <v>49</v>
      </c>
      <c r="D35" s="442"/>
      <c r="E35" s="442"/>
      <c r="F35" s="442">
        <v>49</v>
      </c>
      <c r="G35" s="442">
        <v>49</v>
      </c>
      <c r="H35" s="810"/>
      <c r="I35" s="810"/>
      <c r="J35" s="810"/>
      <c r="K35" s="810"/>
      <c r="L35" s="810"/>
      <c r="M35" s="810"/>
      <c r="N35" s="810"/>
      <c r="O35" s="810"/>
      <c r="P35" s="810"/>
      <c r="Q35" s="810"/>
    </row>
    <row r="36" spans="1:17">
      <c r="A36" s="1359" t="s">
        <v>51</v>
      </c>
      <c r="B36" s="1359"/>
      <c r="C36" s="442"/>
      <c r="D36" s="442">
        <v>3</v>
      </c>
      <c r="E36" s="442"/>
      <c r="F36" s="442">
        <v>3</v>
      </c>
      <c r="G36" s="442">
        <v>3</v>
      </c>
      <c r="H36" s="838"/>
      <c r="I36" s="838"/>
      <c r="J36" s="838"/>
      <c r="K36" s="838"/>
      <c r="L36" s="838"/>
      <c r="M36" s="838"/>
      <c r="N36" s="838"/>
      <c r="O36" s="838"/>
      <c r="P36" s="838"/>
      <c r="Q36" s="838"/>
    </row>
    <row r="37" spans="1:17">
      <c r="A37" s="1359" t="s">
        <v>159</v>
      </c>
      <c r="B37" s="1359"/>
      <c r="C37" s="442"/>
      <c r="D37" s="442">
        <v>16</v>
      </c>
      <c r="E37" s="442"/>
      <c r="F37" s="442">
        <v>16</v>
      </c>
      <c r="G37" s="442">
        <v>16</v>
      </c>
      <c r="H37" s="701"/>
      <c r="I37" s="701"/>
      <c r="J37" s="701"/>
      <c r="K37" s="701"/>
      <c r="N37" s="701"/>
      <c r="O37" s="701"/>
      <c r="P37" s="701"/>
      <c r="Q37" s="701"/>
    </row>
    <row r="38" spans="1:17">
      <c r="A38" s="1242" t="s">
        <v>524</v>
      </c>
      <c r="B38" s="1242"/>
      <c r="C38" s="442">
        <v>20</v>
      </c>
      <c r="D38" s="442"/>
      <c r="E38" s="442"/>
      <c r="F38" s="442">
        <v>20</v>
      </c>
      <c r="G38" s="442">
        <v>20</v>
      </c>
    </row>
    <row r="39" spans="1:17">
      <c r="A39" s="1283" t="s">
        <v>795</v>
      </c>
      <c r="B39" s="1283"/>
      <c r="C39" s="1111"/>
      <c r="D39" s="1111"/>
      <c r="E39" s="1111"/>
      <c r="F39" s="1111"/>
      <c r="G39" s="1111"/>
    </row>
    <row r="40" spans="1:17">
      <c r="A40" s="1242" t="s">
        <v>338</v>
      </c>
      <c r="B40" s="1242"/>
      <c r="C40" s="442">
        <v>1219</v>
      </c>
      <c r="D40" s="442"/>
      <c r="E40" s="442"/>
      <c r="F40" s="442">
        <v>1219</v>
      </c>
      <c r="G40" s="442">
        <v>1219</v>
      </c>
    </row>
    <row r="41" spans="1:17">
      <c r="A41" s="1359" t="s">
        <v>1206</v>
      </c>
      <c r="B41" s="1359"/>
      <c r="C41" s="442"/>
      <c r="D41" s="442">
        <v>3</v>
      </c>
      <c r="E41" s="442"/>
      <c r="F41" s="442">
        <v>3</v>
      </c>
      <c r="G41" s="442">
        <v>3</v>
      </c>
      <c r="H41" s="763"/>
      <c r="I41" s="763"/>
      <c r="J41" s="763"/>
      <c r="K41" s="763"/>
      <c r="L41" s="763"/>
      <c r="M41" s="763"/>
      <c r="N41" s="763"/>
      <c r="O41" s="763"/>
      <c r="P41" s="763"/>
      <c r="Q41" s="763"/>
    </row>
    <row r="42" spans="1:17">
      <c r="A42" s="1359" t="s">
        <v>51</v>
      </c>
      <c r="B42" s="1359"/>
      <c r="C42" s="442"/>
      <c r="D42" s="442">
        <v>5</v>
      </c>
      <c r="E42" s="442">
        <v>3</v>
      </c>
      <c r="F42" s="442">
        <v>8</v>
      </c>
      <c r="G42" s="442">
        <v>8</v>
      </c>
    </row>
    <row r="43" spans="1:17">
      <c r="A43" s="1359" t="s">
        <v>1282</v>
      </c>
      <c r="B43" s="1359"/>
      <c r="C43" s="442">
        <v>3</v>
      </c>
      <c r="D43" s="442"/>
      <c r="E43" s="442"/>
      <c r="F43" s="442">
        <v>3</v>
      </c>
      <c r="G43" s="442">
        <v>3</v>
      </c>
    </row>
    <row r="44" spans="1:17">
      <c r="A44" s="1243" t="s">
        <v>528</v>
      </c>
      <c r="B44" s="1243"/>
      <c r="C44" s="433">
        <v>466</v>
      </c>
      <c r="D44" s="433">
        <v>21</v>
      </c>
      <c r="E44" s="433"/>
      <c r="F44" s="433">
        <v>487</v>
      </c>
      <c r="G44" s="433">
        <v>487</v>
      </c>
    </row>
    <row r="45" spans="1:17" ht="11.25" customHeight="1">
      <c r="A45" s="1290" t="s">
        <v>1271</v>
      </c>
      <c r="B45" s="1367"/>
      <c r="C45" s="452">
        <v>1758</v>
      </c>
      <c r="D45" s="452">
        <v>52</v>
      </c>
      <c r="E45" s="452">
        <v>3</v>
      </c>
      <c r="F45" s="452">
        <v>1813</v>
      </c>
      <c r="G45" s="452">
        <v>1813</v>
      </c>
    </row>
    <row r="46" spans="1:17">
      <c r="A46" s="449"/>
      <c r="B46" s="449"/>
      <c r="C46" s="442"/>
      <c r="D46" s="442"/>
      <c r="E46" s="442"/>
      <c r="F46" s="442"/>
      <c r="G46" s="442"/>
    </row>
    <row r="47" spans="1:17">
      <c r="A47" s="1283" t="s">
        <v>105</v>
      </c>
      <c r="B47" s="1283"/>
      <c r="C47" s="1111"/>
      <c r="D47" s="1111"/>
      <c r="E47" s="1111"/>
      <c r="F47" s="1111"/>
      <c r="G47" s="1111"/>
    </row>
    <row r="48" spans="1:17">
      <c r="A48" s="1242" t="s">
        <v>645</v>
      </c>
      <c r="B48" s="1242"/>
      <c r="C48" s="442">
        <v>748</v>
      </c>
      <c r="D48" s="442"/>
      <c r="E48" s="442"/>
      <c r="F48" s="442">
        <v>748</v>
      </c>
      <c r="G48" s="442">
        <v>754</v>
      </c>
    </row>
    <row r="49" spans="1:17">
      <c r="A49" s="1359" t="s">
        <v>51</v>
      </c>
      <c r="B49" s="1359"/>
      <c r="C49" s="442"/>
      <c r="D49" s="442">
        <v>16</v>
      </c>
      <c r="E49" s="442"/>
      <c r="F49" s="442">
        <v>16</v>
      </c>
      <c r="G49" s="442">
        <v>16</v>
      </c>
      <c r="H49" s="811"/>
      <c r="I49" s="811"/>
      <c r="J49" s="811"/>
      <c r="K49" s="811"/>
      <c r="L49" s="811"/>
      <c r="M49" s="811"/>
      <c r="N49" s="811"/>
      <c r="O49" s="811"/>
      <c r="P49" s="811"/>
      <c r="Q49" s="811"/>
    </row>
    <row r="50" spans="1:17">
      <c r="A50" s="1283" t="s">
        <v>106</v>
      </c>
      <c r="B50" s="1283"/>
      <c r="C50" s="1111"/>
      <c r="D50" s="1111"/>
      <c r="E50" s="1111"/>
      <c r="F50" s="1111"/>
      <c r="G50" s="1111"/>
      <c r="H50" s="235"/>
    </row>
    <row r="51" spans="1:17">
      <c r="A51" s="1242" t="s">
        <v>645</v>
      </c>
      <c r="B51" s="1242"/>
      <c r="C51" s="442">
        <v>74</v>
      </c>
      <c r="D51" s="442"/>
      <c r="E51" s="442"/>
      <c r="F51" s="442">
        <v>74</v>
      </c>
      <c r="G51" s="442">
        <v>74</v>
      </c>
    </row>
    <row r="52" spans="1:17">
      <c r="A52" s="1242" t="s">
        <v>344</v>
      </c>
      <c r="B52" s="1242"/>
      <c r="C52" s="442">
        <v>596</v>
      </c>
      <c r="D52" s="442"/>
      <c r="E52" s="442"/>
      <c r="F52" s="442">
        <v>596</v>
      </c>
      <c r="G52" s="442">
        <v>596</v>
      </c>
    </row>
    <row r="53" spans="1:17">
      <c r="A53" s="1242" t="s">
        <v>51</v>
      </c>
      <c r="B53" s="1242"/>
      <c r="C53" s="442"/>
      <c r="D53" s="442">
        <v>27</v>
      </c>
      <c r="E53" s="442">
        <v>36</v>
      </c>
      <c r="F53" s="442">
        <v>63</v>
      </c>
      <c r="G53" s="442">
        <v>63</v>
      </c>
    </row>
    <row r="54" spans="1:17">
      <c r="A54" s="1243" t="s">
        <v>1283</v>
      </c>
      <c r="B54" s="1243"/>
      <c r="C54" s="433">
        <v>9</v>
      </c>
      <c r="D54" s="433"/>
      <c r="E54" s="433"/>
      <c r="F54" s="433">
        <v>9</v>
      </c>
      <c r="G54" s="433">
        <v>9</v>
      </c>
    </row>
    <row r="55" spans="1:17" ht="11.25" customHeight="1">
      <c r="A55" s="1290" t="s">
        <v>1271</v>
      </c>
      <c r="B55" s="1367"/>
      <c r="C55" s="452">
        <v>1428</v>
      </c>
      <c r="D55" s="452">
        <v>43</v>
      </c>
      <c r="E55" s="452">
        <v>36</v>
      </c>
      <c r="F55" s="452">
        <v>1507</v>
      </c>
      <c r="G55" s="452">
        <v>1513</v>
      </c>
    </row>
    <row r="56" spans="1:17">
      <c r="A56" s="218"/>
      <c r="B56" s="700"/>
      <c r="C56" s="220"/>
      <c r="D56" s="220"/>
      <c r="E56" s="220"/>
      <c r="F56" s="220"/>
      <c r="G56" s="220"/>
      <c r="H56" s="701"/>
      <c r="I56" s="701"/>
      <c r="J56" s="701"/>
      <c r="K56" s="701"/>
      <c r="N56" s="701"/>
      <c r="O56" s="701"/>
      <c r="P56" s="701"/>
      <c r="Q56" s="701"/>
    </row>
    <row r="57" spans="1:17" s="1172" customFormat="1">
      <c r="A57" s="218"/>
      <c r="B57" s="1171"/>
      <c r="C57" s="220"/>
      <c r="D57" s="220"/>
      <c r="E57" s="220"/>
      <c r="F57" s="220"/>
      <c r="G57" s="220"/>
    </row>
    <row r="58" spans="1:17">
      <c r="A58" s="1297" t="s">
        <v>1227</v>
      </c>
      <c r="B58" s="1318" t="s">
        <v>1283</v>
      </c>
      <c r="C58" s="1361"/>
      <c r="D58" s="1362"/>
      <c r="E58" s="220"/>
      <c r="F58" s="220"/>
      <c r="G58" s="220"/>
      <c r="H58" s="701"/>
      <c r="I58" s="701"/>
      <c r="J58" s="701"/>
      <c r="K58" s="701"/>
      <c r="N58" s="701"/>
      <c r="O58" s="701"/>
      <c r="P58" s="701"/>
      <c r="Q58" s="701"/>
    </row>
    <row r="59" spans="1:17">
      <c r="A59" s="603"/>
      <c r="B59" s="603"/>
      <c r="C59" s="603"/>
      <c r="D59" s="603"/>
      <c r="E59" s="228"/>
      <c r="F59" s="228"/>
      <c r="G59" s="228"/>
      <c r="H59" s="701"/>
      <c r="I59" s="701"/>
      <c r="J59" s="701"/>
      <c r="K59" s="701"/>
      <c r="N59" s="701"/>
      <c r="O59" s="701"/>
      <c r="P59" s="701"/>
      <c r="Q59" s="701"/>
    </row>
    <row r="60" spans="1:17" ht="56.25" customHeight="1">
      <c r="A60" s="1246" t="s">
        <v>1272</v>
      </c>
      <c r="B60" s="1246"/>
      <c r="C60" s="1246"/>
      <c r="D60" s="1246"/>
      <c r="E60" s="1246"/>
      <c r="F60" s="1246"/>
      <c r="G60" s="1246"/>
      <c r="H60" s="717"/>
      <c r="I60" s="717"/>
      <c r="J60" s="717"/>
      <c r="K60" s="717"/>
      <c r="L60" s="717"/>
      <c r="M60" s="717"/>
      <c r="N60" s="717"/>
      <c r="O60" s="717"/>
      <c r="P60" s="717"/>
      <c r="Q60" s="717"/>
    </row>
    <row r="61" spans="1:17" ht="11.25" customHeight="1">
      <c r="A61" s="914"/>
      <c r="B61" s="914"/>
      <c r="C61" s="914"/>
      <c r="D61" s="914"/>
      <c r="E61" s="914"/>
      <c r="F61" s="914"/>
      <c r="G61" s="914"/>
      <c r="H61" s="724"/>
      <c r="I61" s="724"/>
      <c r="J61" s="724"/>
      <c r="K61" s="724"/>
      <c r="L61" s="724"/>
      <c r="M61" s="724"/>
      <c r="N61" s="724"/>
      <c r="O61" s="724"/>
      <c r="P61" s="724"/>
      <c r="Q61" s="724"/>
    </row>
    <row r="62" spans="1:17" ht="11.25" customHeight="1">
      <c r="A62" s="1246" t="s">
        <v>1230</v>
      </c>
      <c r="B62" s="1246"/>
      <c r="C62" s="1246"/>
      <c r="D62" s="1246"/>
      <c r="E62" s="1246"/>
      <c r="F62" s="1246"/>
      <c r="G62" s="1246"/>
      <c r="H62" s="724"/>
      <c r="I62" s="724"/>
      <c r="J62" s="724"/>
      <c r="K62" s="724"/>
      <c r="L62" s="724"/>
      <c r="M62" s="724"/>
      <c r="N62" s="724"/>
      <c r="O62" s="724"/>
      <c r="P62" s="724"/>
      <c r="Q62" s="724"/>
    </row>
    <row r="63" spans="1:17" ht="11.25" customHeight="1">
      <c r="A63" s="1246" t="s">
        <v>1238</v>
      </c>
      <c r="B63" s="1246"/>
      <c r="C63" s="1246"/>
      <c r="D63" s="1246"/>
      <c r="E63" s="1246"/>
      <c r="F63" s="1246"/>
      <c r="G63" s="1246"/>
      <c r="H63" s="724"/>
      <c r="I63" s="724"/>
      <c r="J63" s="724"/>
      <c r="K63" s="724"/>
      <c r="L63" s="724"/>
      <c r="M63" s="724"/>
      <c r="N63" s="724"/>
      <c r="O63" s="724"/>
      <c r="P63" s="724"/>
      <c r="Q63" s="724"/>
    </row>
    <row r="64" spans="1:17" ht="11.25" customHeight="1">
      <c r="A64" s="1246" t="s">
        <v>1239</v>
      </c>
      <c r="B64" s="1246"/>
      <c r="C64" s="1246"/>
      <c r="D64" s="1246"/>
      <c r="E64" s="1246"/>
      <c r="F64" s="1246"/>
      <c r="G64" s="1246"/>
      <c r="H64" s="724"/>
      <c r="I64" s="724"/>
      <c r="J64" s="724"/>
      <c r="K64" s="724"/>
      <c r="L64" s="724"/>
      <c r="M64" s="724"/>
      <c r="N64" s="724"/>
      <c r="O64" s="724"/>
      <c r="P64" s="724"/>
      <c r="Q64" s="724"/>
    </row>
    <row r="65" spans="1:17" ht="11.25" customHeight="1">
      <c r="A65" s="1246" t="s">
        <v>1240</v>
      </c>
      <c r="B65" s="1246"/>
      <c r="C65" s="1246"/>
      <c r="D65" s="1246"/>
      <c r="E65" s="1246"/>
      <c r="F65" s="1246"/>
      <c r="G65" s="1246"/>
      <c r="H65" s="724"/>
      <c r="I65" s="724"/>
      <c r="J65" s="724"/>
      <c r="K65" s="724"/>
      <c r="L65" s="724"/>
      <c r="M65" s="724"/>
      <c r="N65" s="724"/>
      <c r="O65" s="724"/>
      <c r="P65" s="724"/>
      <c r="Q65" s="724"/>
    </row>
    <row r="66" spans="1:17">
      <c r="A66" s="218"/>
      <c r="B66" s="716"/>
      <c r="C66" s="220"/>
      <c r="D66" s="220"/>
      <c r="E66" s="220"/>
      <c r="F66" s="220"/>
      <c r="G66" s="220"/>
      <c r="H66" s="717"/>
      <c r="I66" s="717"/>
      <c r="J66" s="717"/>
      <c r="K66" s="717"/>
      <c r="L66" s="717"/>
      <c r="M66" s="717"/>
      <c r="N66" s="717"/>
      <c r="O66" s="717"/>
      <c r="P66" s="717"/>
      <c r="Q66" s="717"/>
    </row>
    <row r="67" spans="1:17">
      <c r="A67" s="218"/>
      <c r="B67" s="743"/>
      <c r="C67" s="220"/>
      <c r="D67" s="971"/>
      <c r="E67" s="972">
        <v>2019</v>
      </c>
      <c r="F67" s="228"/>
      <c r="G67" s="973">
        <v>2018</v>
      </c>
      <c r="H67" s="744"/>
      <c r="I67" s="744"/>
      <c r="J67" s="744"/>
      <c r="K67" s="744"/>
      <c r="L67" s="744"/>
      <c r="M67" s="744"/>
      <c r="N67" s="744"/>
      <c r="O67" s="744"/>
      <c r="P67" s="744"/>
      <c r="Q67" s="744"/>
    </row>
    <row r="68" spans="1:17">
      <c r="A68" s="1245" t="s">
        <v>700</v>
      </c>
      <c r="B68" s="1245"/>
      <c r="C68" s="976"/>
      <c r="D68" s="974" t="s">
        <v>1212</v>
      </c>
      <c r="E68" s="974" t="s">
        <v>1213</v>
      </c>
      <c r="F68" s="638" t="s">
        <v>1212</v>
      </c>
      <c r="G68" s="638" t="s">
        <v>1213</v>
      </c>
      <c r="H68" s="701"/>
      <c r="I68" s="701"/>
      <c r="J68" s="701"/>
      <c r="K68" s="701"/>
      <c r="N68" s="701"/>
      <c r="O68" s="701"/>
      <c r="P68" s="701"/>
      <c r="Q68" s="701"/>
    </row>
    <row r="69" spans="1:17">
      <c r="A69" s="1241" t="s">
        <v>1210</v>
      </c>
      <c r="B69" s="1241" t="s">
        <v>1283</v>
      </c>
      <c r="C69" s="915"/>
      <c r="D69" s="715"/>
      <c r="E69" s="715"/>
      <c r="F69" s="442"/>
      <c r="G69" s="442"/>
      <c r="H69" s="701"/>
      <c r="I69" s="701"/>
      <c r="J69" s="701"/>
      <c r="K69" s="701"/>
      <c r="N69" s="701"/>
      <c r="O69" s="701"/>
      <c r="P69" s="701"/>
      <c r="Q69" s="701"/>
    </row>
    <row r="70" spans="1:17">
      <c r="A70" s="1242" t="s">
        <v>159</v>
      </c>
      <c r="B70" s="1242"/>
      <c r="C70" s="915"/>
      <c r="D70" s="540"/>
      <c r="E70" s="540">
        <v>18</v>
      </c>
      <c r="F70" s="442"/>
      <c r="G70" s="442">
        <v>16</v>
      </c>
      <c r="H70" s="701"/>
      <c r="I70" s="701"/>
      <c r="J70" s="701"/>
      <c r="K70" s="701"/>
      <c r="N70" s="701"/>
      <c r="O70" s="701"/>
      <c r="P70" s="701"/>
      <c r="Q70" s="701"/>
    </row>
    <row r="71" spans="1:17">
      <c r="A71" s="1242" t="s">
        <v>1243</v>
      </c>
      <c r="B71" s="1242"/>
      <c r="C71" s="915"/>
      <c r="D71" s="540">
        <v>1</v>
      </c>
      <c r="E71" s="540"/>
      <c r="F71" s="442">
        <v>3</v>
      </c>
      <c r="G71" s="442"/>
      <c r="H71" s="744"/>
      <c r="I71" s="744"/>
      <c r="J71" s="744"/>
      <c r="K71" s="744"/>
      <c r="L71" s="744"/>
      <c r="M71" s="744"/>
      <c r="N71" s="744"/>
      <c r="O71" s="744"/>
      <c r="P71" s="744"/>
      <c r="Q71" s="744"/>
    </row>
    <row r="72" spans="1:17">
      <c r="A72" s="1242" t="s">
        <v>1244</v>
      </c>
      <c r="B72" s="1242"/>
      <c r="C72" s="915"/>
      <c r="D72" s="540">
        <v>2</v>
      </c>
      <c r="E72" s="540"/>
      <c r="F72" s="442">
        <v>3</v>
      </c>
      <c r="G72" s="442"/>
      <c r="H72" s="701"/>
      <c r="I72" s="701"/>
      <c r="J72" s="701"/>
      <c r="K72" s="701"/>
      <c r="N72" s="701"/>
      <c r="O72" s="701"/>
      <c r="P72" s="701"/>
      <c r="Q72" s="701"/>
    </row>
    <row r="73" spans="1:17">
      <c r="A73" s="1242" t="s">
        <v>51</v>
      </c>
      <c r="B73" s="1242"/>
      <c r="C73" s="915"/>
      <c r="D73" s="540">
        <v>24</v>
      </c>
      <c r="E73" s="540"/>
      <c r="F73" s="442">
        <v>12</v>
      </c>
      <c r="G73" s="442"/>
      <c r="H73" s="701"/>
      <c r="I73" s="701"/>
      <c r="J73" s="701"/>
      <c r="K73" s="701"/>
      <c r="N73" s="701"/>
      <c r="O73" s="701"/>
      <c r="P73" s="701"/>
      <c r="Q73" s="701"/>
    </row>
    <row r="74" spans="1:17">
      <c r="A74" s="1241" t="s">
        <v>1211</v>
      </c>
      <c r="B74" s="1241" t="s">
        <v>1283</v>
      </c>
      <c r="C74" s="915"/>
      <c r="D74" s="540"/>
      <c r="E74" s="540"/>
      <c r="F74" s="442"/>
      <c r="G74" s="442"/>
      <c r="H74" s="701"/>
      <c r="I74" s="701"/>
      <c r="J74" s="701"/>
      <c r="K74" s="701"/>
      <c r="N74" s="701"/>
      <c r="O74" s="701"/>
      <c r="P74" s="701"/>
      <c r="Q74" s="701"/>
    </row>
    <row r="75" spans="1:17">
      <c r="A75" s="1242" t="s">
        <v>1284</v>
      </c>
      <c r="B75" s="1242"/>
      <c r="C75" s="915"/>
      <c r="D75" s="540">
        <v>1005</v>
      </c>
      <c r="E75" s="540"/>
      <c r="F75" s="442">
        <v>754</v>
      </c>
      <c r="G75" s="442"/>
      <c r="H75" s="744"/>
      <c r="I75" s="744"/>
      <c r="J75" s="744"/>
      <c r="K75" s="744"/>
      <c r="L75" s="744"/>
      <c r="M75" s="744"/>
      <c r="N75" s="744"/>
      <c r="O75" s="744"/>
      <c r="P75" s="744"/>
      <c r="Q75" s="744"/>
    </row>
    <row r="76" spans="1:17">
      <c r="A76" s="1242" t="s">
        <v>51</v>
      </c>
      <c r="B76" s="1242"/>
      <c r="C76" s="915"/>
      <c r="D76" s="540">
        <v>23</v>
      </c>
      <c r="E76" s="540"/>
      <c r="F76" s="442">
        <v>79</v>
      </c>
      <c r="G76" s="442"/>
      <c r="H76" s="701"/>
      <c r="I76" s="701"/>
      <c r="J76" s="701"/>
      <c r="K76" s="701"/>
      <c r="N76" s="701"/>
      <c r="O76" s="701"/>
      <c r="P76" s="701"/>
      <c r="Q76" s="701"/>
    </row>
    <row r="77" spans="1:17">
      <c r="A77" s="218"/>
      <c r="B77" s="218"/>
      <c r="C77" s="218"/>
      <c r="D77" s="218"/>
      <c r="E77" s="220"/>
      <c r="F77" s="220"/>
      <c r="G77" s="220"/>
      <c r="H77" s="701"/>
      <c r="I77" s="701"/>
      <c r="J77" s="701"/>
      <c r="K77" s="701"/>
      <c r="N77" s="701"/>
      <c r="O77" s="701"/>
      <c r="P77" s="701"/>
      <c r="Q77" s="701"/>
    </row>
    <row r="78" spans="1:17">
      <c r="A78" s="1247" t="s">
        <v>1285</v>
      </c>
      <c r="B78" s="1247"/>
      <c r="C78" s="1247"/>
      <c r="D78" s="1247"/>
      <c r="E78" s="1247"/>
      <c r="F78" s="1247"/>
      <c r="G78" s="1247"/>
      <c r="H78" s="759"/>
      <c r="I78" s="759"/>
      <c r="J78" s="759"/>
      <c r="K78" s="759"/>
      <c r="L78" s="759"/>
      <c r="M78" s="759"/>
      <c r="N78" s="759"/>
      <c r="O78" s="759"/>
      <c r="P78" s="759"/>
      <c r="Q78" s="759"/>
    </row>
    <row r="79" spans="1:17">
      <c r="A79" s="218"/>
      <c r="B79" s="218"/>
      <c r="C79" s="218"/>
      <c r="D79" s="218"/>
      <c r="E79" s="220"/>
      <c r="F79" s="220"/>
      <c r="G79" s="220"/>
      <c r="H79" s="759"/>
      <c r="I79" s="759"/>
      <c r="J79" s="759"/>
      <c r="K79" s="759"/>
      <c r="L79" s="759"/>
      <c r="M79" s="759"/>
      <c r="N79" s="759"/>
      <c r="O79" s="759"/>
      <c r="P79" s="759"/>
      <c r="Q79" s="759"/>
    </row>
    <row r="80" spans="1:17" ht="10.5" customHeight="1">
      <c r="A80" s="1247" t="s">
        <v>1595</v>
      </c>
      <c r="B80" s="1247"/>
      <c r="C80" s="1247"/>
      <c r="D80" s="1247"/>
      <c r="E80" s="1247"/>
      <c r="F80" s="1247"/>
      <c r="G80" s="1247"/>
    </row>
    <row r="82" spans="1:17">
      <c r="A82" s="1372" t="s">
        <v>159</v>
      </c>
      <c r="B82" s="1372"/>
      <c r="C82" s="1372"/>
      <c r="D82" s="1372"/>
      <c r="E82" s="1372"/>
      <c r="F82" s="1372"/>
      <c r="G82" s="1372"/>
      <c r="H82" s="710"/>
      <c r="I82" s="710"/>
      <c r="J82" s="710"/>
      <c r="K82" s="710"/>
      <c r="N82" s="710"/>
      <c r="O82" s="710"/>
      <c r="P82" s="710"/>
      <c r="Q82" s="710"/>
    </row>
    <row r="83" spans="1:17">
      <c r="A83" s="709"/>
      <c r="B83" s="709"/>
      <c r="H83" s="710"/>
      <c r="I83" s="710"/>
      <c r="J83" s="710"/>
      <c r="K83" s="710"/>
      <c r="N83" s="710"/>
      <c r="O83" s="710"/>
      <c r="P83" s="710"/>
      <c r="Q83" s="710"/>
    </row>
    <row r="84" spans="1:17" ht="33.75" customHeight="1">
      <c r="A84" s="1246" t="s">
        <v>1273</v>
      </c>
      <c r="B84" s="1246"/>
      <c r="C84" s="1246"/>
      <c r="D84" s="1246"/>
      <c r="E84" s="1246"/>
      <c r="F84" s="1246"/>
      <c r="G84" s="1246"/>
    </row>
    <row r="86" spans="1:17">
      <c r="A86" s="1245" t="s">
        <v>700</v>
      </c>
      <c r="B86" s="1245"/>
      <c r="C86" s="1245"/>
      <c r="D86" s="492"/>
      <c r="E86" s="492"/>
      <c r="F86" s="558">
        <v>2019</v>
      </c>
      <c r="G86" s="467">
        <v>2018</v>
      </c>
    </row>
    <row r="87" spans="1:17">
      <c r="A87" s="1237" t="s">
        <v>1134</v>
      </c>
      <c r="B87" s="1237" t="s">
        <v>1134</v>
      </c>
      <c r="C87" s="1237" t="s">
        <v>318</v>
      </c>
      <c r="D87" s="447"/>
      <c r="E87" s="447"/>
      <c r="F87" s="540">
        <v>16</v>
      </c>
      <c r="G87" s="442">
        <v>13</v>
      </c>
    </row>
    <row r="88" spans="1:17">
      <c r="A88" s="1363" t="s">
        <v>618</v>
      </c>
      <c r="B88" s="1363" t="s">
        <v>618</v>
      </c>
      <c r="C88" s="1363" t="s">
        <v>619</v>
      </c>
      <c r="D88" s="1162"/>
      <c r="E88" s="1162"/>
      <c r="F88" s="1130">
        <v>2</v>
      </c>
      <c r="G88" s="1132">
        <v>3</v>
      </c>
    </row>
    <row r="89" spans="1:17" s="1172" customFormat="1">
      <c r="A89" s="1295" t="s">
        <v>1135</v>
      </c>
      <c r="B89" s="1295"/>
      <c r="C89" s="1295"/>
      <c r="D89" s="1182"/>
      <c r="E89" s="1182"/>
      <c r="F89" s="1183">
        <v>18</v>
      </c>
      <c r="G89" s="1184">
        <v>16</v>
      </c>
    </row>
    <row r="91" spans="1:17">
      <c r="A91" s="1246" t="s">
        <v>1617</v>
      </c>
      <c r="B91" s="1246"/>
      <c r="C91" s="1246"/>
      <c r="D91" s="1246"/>
      <c r="E91" s="1246"/>
      <c r="F91" s="1246"/>
      <c r="G91" s="1246"/>
    </row>
    <row r="93" spans="1:17">
      <c r="A93" s="796"/>
      <c r="B93" s="796"/>
      <c r="C93" s="796"/>
      <c r="D93" s="796"/>
      <c r="E93" s="796"/>
      <c r="F93" s="796"/>
      <c r="G93" s="796"/>
      <c r="H93" s="796"/>
      <c r="I93" s="796"/>
      <c r="J93" s="796"/>
      <c r="K93" s="796"/>
      <c r="L93" s="796"/>
      <c r="M93" s="796"/>
      <c r="N93" s="759"/>
      <c r="O93" s="759"/>
      <c r="P93" s="759"/>
      <c r="Q93" s="759"/>
    </row>
    <row r="94" spans="1:17">
      <c r="A94" s="796"/>
      <c r="B94" s="796"/>
      <c r="C94" s="796"/>
      <c r="D94" s="796"/>
      <c r="E94" s="796"/>
      <c r="F94" s="796"/>
      <c r="G94" s="796"/>
      <c r="H94" s="796"/>
      <c r="I94" s="796"/>
      <c r="J94" s="796"/>
      <c r="K94" s="796"/>
      <c r="L94" s="796"/>
      <c r="M94" s="796"/>
      <c r="N94" s="759"/>
      <c r="O94" s="759"/>
      <c r="P94" s="759"/>
      <c r="Q94" s="759"/>
    </row>
    <row r="95" spans="1:17">
      <c r="A95" s="796"/>
      <c r="B95" s="796"/>
      <c r="C95" s="796"/>
      <c r="D95" s="796"/>
      <c r="E95" s="796"/>
      <c r="F95" s="796"/>
      <c r="G95" s="796"/>
      <c r="H95" s="796"/>
      <c r="I95" s="796"/>
      <c r="J95" s="796"/>
      <c r="K95" s="796"/>
      <c r="L95" s="796"/>
      <c r="M95" s="796"/>
    </row>
    <row r="96" spans="1:17">
      <c r="A96" s="796"/>
      <c r="B96" s="796"/>
      <c r="C96" s="796"/>
      <c r="D96" s="796"/>
      <c r="E96" s="796"/>
      <c r="F96" s="796"/>
      <c r="G96" s="796"/>
      <c r="H96" s="796"/>
      <c r="I96" s="796"/>
      <c r="J96" s="796"/>
      <c r="K96" s="796"/>
      <c r="L96" s="796"/>
      <c r="M96" s="796"/>
    </row>
    <row r="97" spans="1:13">
      <c r="A97" s="796"/>
      <c r="B97" s="796"/>
      <c r="C97" s="796"/>
      <c r="D97" s="796"/>
      <c r="E97" s="796"/>
      <c r="F97" s="796"/>
      <c r="G97" s="796"/>
      <c r="H97" s="796"/>
      <c r="I97" s="796"/>
      <c r="J97" s="796"/>
      <c r="K97" s="796"/>
      <c r="L97" s="796"/>
      <c r="M97" s="796"/>
    </row>
    <row r="98" spans="1:13">
      <c r="A98" s="796"/>
      <c r="B98" s="796"/>
      <c r="C98" s="796"/>
      <c r="D98" s="796"/>
      <c r="E98" s="796"/>
      <c r="F98" s="796"/>
      <c r="G98" s="796"/>
      <c r="H98" s="796"/>
      <c r="I98" s="796"/>
      <c r="J98" s="796"/>
      <c r="K98" s="796"/>
      <c r="L98" s="796"/>
      <c r="M98" s="796"/>
    </row>
    <row r="99" spans="1:13">
      <c r="A99" s="796"/>
      <c r="B99" s="796"/>
      <c r="C99" s="796"/>
      <c r="D99" s="796"/>
      <c r="E99" s="796"/>
      <c r="F99" s="796"/>
      <c r="G99" s="796"/>
      <c r="H99" s="796"/>
      <c r="I99" s="796"/>
      <c r="J99" s="796"/>
      <c r="K99" s="796"/>
      <c r="L99" s="796"/>
      <c r="M99" s="796"/>
    </row>
    <row r="100" spans="1:13">
      <c r="A100" s="796"/>
      <c r="B100" s="796"/>
      <c r="C100" s="796"/>
      <c r="D100" s="796"/>
      <c r="E100" s="796"/>
      <c r="F100" s="796"/>
      <c r="G100" s="796"/>
      <c r="H100" s="796"/>
      <c r="I100" s="796"/>
      <c r="J100" s="796"/>
      <c r="K100" s="796"/>
      <c r="L100" s="796"/>
      <c r="M100" s="796"/>
    </row>
    <row r="101" spans="1:13">
      <c r="A101" s="796"/>
      <c r="B101" s="796"/>
      <c r="C101" s="796"/>
      <c r="D101" s="796"/>
      <c r="E101" s="796"/>
      <c r="F101" s="796"/>
      <c r="G101" s="796"/>
      <c r="H101" s="796"/>
      <c r="I101" s="796"/>
      <c r="J101" s="796"/>
      <c r="K101" s="796"/>
      <c r="L101" s="796"/>
      <c r="M101" s="796"/>
    </row>
    <row r="102" spans="1:13">
      <c r="A102" s="795"/>
      <c r="B102" s="795"/>
      <c r="H102" s="796"/>
      <c r="I102" s="796"/>
      <c r="J102" s="796"/>
      <c r="K102" s="796"/>
      <c r="L102" s="796"/>
      <c r="M102" s="796"/>
    </row>
  </sheetData>
  <mergeCells count="75">
    <mergeCell ref="A35:B35"/>
    <mergeCell ref="A51:B51"/>
    <mergeCell ref="A80:G80"/>
    <mergeCell ref="A82:G82"/>
    <mergeCell ref="A52:B52"/>
    <mergeCell ref="A53:B53"/>
    <mergeCell ref="A54:B54"/>
    <mergeCell ref="A74:B74"/>
    <mergeCell ref="A60:G60"/>
    <mergeCell ref="A62:G62"/>
    <mergeCell ref="A63:G63"/>
    <mergeCell ref="A70:B70"/>
    <mergeCell ref="A71:B71"/>
    <mergeCell ref="A64:G64"/>
    <mergeCell ref="A65:G65"/>
    <mergeCell ref="A36:B36"/>
    <mergeCell ref="A32:B32"/>
    <mergeCell ref="A55:B55"/>
    <mergeCell ref="A45:B45"/>
    <mergeCell ref="A50:B50"/>
    <mergeCell ref="A47:B47"/>
    <mergeCell ref="A39:B39"/>
    <mergeCell ref="A33:B33"/>
    <mergeCell ref="A34:B34"/>
    <mergeCell ref="A37:B37"/>
    <mergeCell ref="A38:B38"/>
    <mergeCell ref="A40:B40"/>
    <mergeCell ref="A42:B42"/>
    <mergeCell ref="A43:B43"/>
    <mergeCell ref="A44:B44"/>
    <mergeCell ref="A41:B41"/>
    <mergeCell ref="A48:B48"/>
    <mergeCell ref="A1:G1"/>
    <mergeCell ref="A27:B27"/>
    <mergeCell ref="A20:B20"/>
    <mergeCell ref="A23:B23"/>
    <mergeCell ref="A24:B24"/>
    <mergeCell ref="A25:B25"/>
    <mergeCell ref="A26:B26"/>
    <mergeCell ref="A22:B22"/>
    <mergeCell ref="A4:B4"/>
    <mergeCell ref="A17:B17"/>
    <mergeCell ref="A6:B6"/>
    <mergeCell ref="A9:B9"/>
    <mergeCell ref="A10:B10"/>
    <mergeCell ref="A12:B12"/>
    <mergeCell ref="A13:B13"/>
    <mergeCell ref="A31:B31"/>
    <mergeCell ref="A3:B3"/>
    <mergeCell ref="A5:B5"/>
    <mergeCell ref="A11:B11"/>
    <mergeCell ref="A19:B19"/>
    <mergeCell ref="A15:B15"/>
    <mergeCell ref="A16:B16"/>
    <mergeCell ref="A14:B14"/>
    <mergeCell ref="A7:B7"/>
    <mergeCell ref="A8:B8"/>
    <mergeCell ref="A21:B21"/>
    <mergeCell ref="A29:G29"/>
    <mergeCell ref="A91:G91"/>
    <mergeCell ref="A86:C86"/>
    <mergeCell ref="A87:C87"/>
    <mergeCell ref="A75:B75"/>
    <mergeCell ref="A76:B76"/>
    <mergeCell ref="A78:G78"/>
    <mergeCell ref="A84:G84"/>
    <mergeCell ref="A88:C88"/>
    <mergeCell ref="A89:C89"/>
    <mergeCell ref="A49:B49"/>
    <mergeCell ref="A72:B72"/>
    <mergeCell ref="A73:B73"/>
    <mergeCell ref="C58:D58"/>
    <mergeCell ref="A68:B68"/>
    <mergeCell ref="A69:B69"/>
    <mergeCell ref="A58:B58"/>
  </mergeCells>
  <phoneticPr fontId="0" type="noConversion"/>
  <pageMargins left="0.74803149606299213" right="0.74803149606299213" top="0.98425196850393704" bottom="0.98425196850393704" header="0.51181102362204722" footer="0.51181102362204722"/>
  <pageSetup paperSize="9" scale="84" orientation="portrait" r:id="rId1"/>
  <headerFooter alignWithMargins="0"/>
  <rowBreaks count="1" manualBreakCount="1">
    <brk id="57" max="6" man="1"/>
  </rowBreaks>
  <customProperties>
    <customPr name="SheetOptions" r:id="rId2"/>
  </customProperties>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2"/>
  <dimension ref="A1:Q15"/>
  <sheetViews>
    <sheetView zoomScaleNormal="100" workbookViewId="0">
      <selection sqref="A1:C1"/>
    </sheetView>
  </sheetViews>
  <sheetFormatPr defaultColWidth="8.6640625" defaultRowHeight="11.25"/>
  <cols>
    <col min="1" max="1" width="90" style="224" customWidth="1"/>
    <col min="2" max="3" width="20" style="229" customWidth="1"/>
    <col min="4" max="17" width="3.6640625" style="205" customWidth="1"/>
    <col min="18" max="16384" width="8.6640625" style="1151"/>
  </cols>
  <sheetData>
    <row r="1" spans="1:17" ht="15.75">
      <c r="A1" s="1322" t="s">
        <v>1532</v>
      </c>
      <c r="B1" s="1373"/>
      <c r="C1" s="1373"/>
    </row>
    <row r="2" spans="1:17" ht="11.25" customHeight="1">
      <c r="A2" s="332"/>
      <c r="B2" s="342"/>
      <c r="C2" s="342"/>
    </row>
    <row r="3" spans="1:17">
      <c r="A3" s="288" t="s">
        <v>700</v>
      </c>
      <c r="B3" s="550">
        <v>2019</v>
      </c>
      <c r="C3" s="291">
        <v>2018</v>
      </c>
    </row>
    <row r="4" spans="1:17">
      <c r="A4" s="429" t="s">
        <v>616</v>
      </c>
      <c r="B4" s="540">
        <v>484</v>
      </c>
      <c r="C4" s="442">
        <v>471</v>
      </c>
    </row>
    <row r="5" spans="1:17">
      <c r="A5" s="429" t="s">
        <v>63</v>
      </c>
      <c r="B5" s="540">
        <v>736</v>
      </c>
      <c r="C5" s="442">
        <v>615</v>
      </c>
      <c r="Q5" s="799"/>
    </row>
    <row r="6" spans="1:17">
      <c r="A6" s="429" t="s">
        <v>64</v>
      </c>
      <c r="B6" s="540">
        <v>53</v>
      </c>
      <c r="C6" s="442">
        <v>35</v>
      </c>
      <c r="M6" s="235"/>
    </row>
    <row r="7" spans="1:17">
      <c r="A7" s="466" t="s">
        <v>715</v>
      </c>
      <c r="B7" s="536">
        <v>93</v>
      </c>
      <c r="C7" s="433">
        <v>43</v>
      </c>
    </row>
    <row r="8" spans="1:17">
      <c r="A8" s="453" t="s">
        <v>641</v>
      </c>
      <c r="B8" s="537">
        <v>1365</v>
      </c>
      <c r="C8" s="452">
        <v>1165</v>
      </c>
    </row>
    <row r="9" spans="1:17">
      <c r="A9" s="219"/>
      <c r="B9" s="220"/>
      <c r="C9" s="220"/>
    </row>
    <row r="10" spans="1:17" ht="22.5" customHeight="1">
      <c r="A10" s="1299" t="s">
        <v>1537</v>
      </c>
      <c r="B10" s="1299"/>
      <c r="C10" s="1299"/>
    </row>
    <row r="11" spans="1:17">
      <c r="A11" s="1057"/>
    </row>
    <row r="12" spans="1:17" ht="34.5" customHeight="1">
      <c r="A12" s="1299" t="s">
        <v>1701</v>
      </c>
      <c r="B12" s="1299"/>
      <c r="C12" s="1299"/>
    </row>
    <row r="13" spans="1:17" ht="11.25" customHeight="1">
      <c r="A13" s="1150"/>
      <c r="B13" s="1150"/>
      <c r="C13" s="1150"/>
      <c r="D13" s="1151"/>
      <c r="E13" s="1151"/>
      <c r="F13" s="1151"/>
      <c r="G13" s="1151"/>
      <c r="H13" s="1151"/>
      <c r="I13" s="1151"/>
      <c r="J13" s="1151"/>
      <c r="K13" s="1151"/>
      <c r="L13" s="1151"/>
      <c r="M13" s="1151"/>
      <c r="N13" s="1151"/>
      <c r="O13" s="1151"/>
      <c r="P13" s="1151"/>
      <c r="Q13" s="1151"/>
    </row>
    <row r="14" spans="1:17" ht="12" customHeight="1">
      <c r="A14" s="1299"/>
      <c r="B14" s="1299"/>
      <c r="C14" s="1299"/>
    </row>
    <row r="15" spans="1:17">
      <c r="A15" s="1057"/>
    </row>
  </sheetData>
  <mergeCells count="4">
    <mergeCell ref="A1:C1"/>
    <mergeCell ref="A10:C10"/>
    <mergeCell ref="A12:C12"/>
    <mergeCell ref="A14:C14"/>
  </mergeCells>
  <phoneticPr fontId="49" type="noConversion"/>
  <pageMargins left="0.75" right="0.75" top="1" bottom="1" header="0.5" footer="0.5"/>
  <pageSetup scale="87" orientation="portrait" r:id="rId1"/>
  <headerFooter alignWithMargins="0"/>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EBBE8-A43C-4A82-9B8C-54E17A2FCB2E}">
  <sheetPr codeName="Sheet37"/>
  <dimension ref="A1:C22"/>
  <sheetViews>
    <sheetView zoomScaleNormal="100" workbookViewId="0">
      <selection sqref="A1:C1"/>
    </sheetView>
  </sheetViews>
  <sheetFormatPr defaultColWidth="8.6640625" defaultRowHeight="11.25"/>
  <cols>
    <col min="1" max="1" width="90" style="754" customWidth="1"/>
    <col min="2" max="3" width="20" style="229" customWidth="1"/>
    <col min="4" max="17" width="3.6640625" style="1151" customWidth="1"/>
    <col min="18" max="16384" width="8.6640625" style="1151"/>
  </cols>
  <sheetData>
    <row r="1" spans="1:3" ht="15.75">
      <c r="A1" s="1296" t="s">
        <v>1510</v>
      </c>
      <c r="B1" s="1374"/>
      <c r="C1" s="1374"/>
    </row>
    <row r="2" spans="1:3" ht="11.25" customHeight="1">
      <c r="A2" s="757"/>
      <c r="B2" s="342"/>
      <c r="C2" s="342"/>
    </row>
    <row r="3" spans="1:3" ht="11.25" customHeight="1">
      <c r="A3" s="756" t="s">
        <v>700</v>
      </c>
      <c r="B3" s="550">
        <v>2019</v>
      </c>
      <c r="C3" s="291">
        <v>2018</v>
      </c>
    </row>
    <row r="4" spans="1:3" ht="11.25" customHeight="1">
      <c r="A4" s="752" t="s">
        <v>338</v>
      </c>
      <c r="B4" s="540">
        <v>1255</v>
      </c>
      <c r="C4" s="442">
        <v>1271</v>
      </c>
    </row>
    <row r="5" spans="1:3" ht="11.25" customHeight="1">
      <c r="A5" s="752" t="s">
        <v>1280</v>
      </c>
      <c r="B5" s="540">
        <v>515</v>
      </c>
      <c r="C5" s="442">
        <v>557</v>
      </c>
    </row>
    <row r="6" spans="1:3" ht="11.25" customHeight="1">
      <c r="A6" s="805" t="s">
        <v>1281</v>
      </c>
      <c r="B6" s="540"/>
      <c r="C6" s="442"/>
    </row>
    <row r="7" spans="1:3" ht="11.25" customHeight="1">
      <c r="A7" s="1040" t="s">
        <v>343</v>
      </c>
      <c r="B7" s="540">
        <v>452</v>
      </c>
      <c r="C7" s="442">
        <v>584</v>
      </c>
    </row>
    <row r="8" spans="1:3" ht="11.25" customHeight="1">
      <c r="A8" s="1040" t="s">
        <v>1386</v>
      </c>
      <c r="B8" s="540">
        <v>465</v>
      </c>
      <c r="C8" s="442">
        <v>345</v>
      </c>
    </row>
    <row r="9" spans="1:3" ht="11.25" customHeight="1">
      <c r="A9" s="807"/>
      <c r="B9" s="540"/>
      <c r="C9" s="442"/>
    </row>
    <row r="10" spans="1:3" ht="11.25" customHeight="1">
      <c r="A10" s="809" t="s">
        <v>1388</v>
      </c>
      <c r="B10" s="540"/>
      <c r="C10" s="442"/>
    </row>
    <row r="11" spans="1:3" ht="11.25" customHeight="1">
      <c r="A11" s="1040" t="s">
        <v>433</v>
      </c>
      <c r="B11" s="540">
        <v>19</v>
      </c>
      <c r="C11" s="442">
        <v>49</v>
      </c>
    </row>
    <row r="12" spans="1:3" ht="11.25" customHeight="1">
      <c r="A12" s="1040" t="s">
        <v>434</v>
      </c>
      <c r="B12" s="540">
        <v>1752</v>
      </c>
      <c r="C12" s="442">
        <v>1779</v>
      </c>
    </row>
    <row r="13" spans="1:3" ht="11.25" customHeight="1">
      <c r="A13" s="807"/>
      <c r="B13" s="540"/>
      <c r="C13" s="442"/>
    </row>
    <row r="14" spans="1:3" ht="11.25" customHeight="1">
      <c r="A14" s="809" t="s">
        <v>1281</v>
      </c>
      <c r="B14" s="540"/>
      <c r="C14" s="442"/>
    </row>
    <row r="15" spans="1:3" ht="11.25" customHeight="1">
      <c r="A15" s="1040" t="s">
        <v>433</v>
      </c>
      <c r="B15" s="540">
        <v>38</v>
      </c>
      <c r="C15" s="442">
        <v>41</v>
      </c>
    </row>
    <row r="16" spans="1:3" ht="11.25" customHeight="1">
      <c r="A16" s="1040" t="s">
        <v>434</v>
      </c>
      <c r="B16" s="540">
        <v>880</v>
      </c>
      <c r="C16" s="442">
        <v>888</v>
      </c>
    </row>
    <row r="17" spans="1:3" ht="11.25" customHeight="1">
      <c r="A17" s="807"/>
      <c r="B17" s="540"/>
      <c r="C17" s="442"/>
    </row>
    <row r="18" spans="1:3" ht="11.25" customHeight="1">
      <c r="A18" s="612" t="s">
        <v>1387</v>
      </c>
      <c r="B18" s="540">
        <v>888</v>
      </c>
      <c r="C18" s="442">
        <v>724</v>
      </c>
    </row>
    <row r="19" spans="1:3" ht="11.25" customHeight="1">
      <c r="A19" s="612" t="s">
        <v>1642</v>
      </c>
      <c r="B19" s="540">
        <v>7427</v>
      </c>
      <c r="C19" s="442">
        <v>7242</v>
      </c>
    </row>
    <row r="20" spans="1:3" ht="11.25" customHeight="1">
      <c r="A20" s="1163" t="s">
        <v>1635</v>
      </c>
      <c r="B20" s="540">
        <v>3959</v>
      </c>
      <c r="C20" s="442">
        <v>3794</v>
      </c>
    </row>
    <row r="21" spans="1:3" ht="11.25" customHeight="1">
      <c r="A21" s="755"/>
      <c r="B21" s="220"/>
      <c r="C21" s="220"/>
    </row>
    <row r="22" spans="1:3" ht="147.75" customHeight="1">
      <c r="A22" s="1317" t="s">
        <v>1734</v>
      </c>
      <c r="B22" s="1317" t="s">
        <v>1618</v>
      </c>
      <c r="C22" s="1317">
        <v>0</v>
      </c>
    </row>
  </sheetData>
  <mergeCells count="2">
    <mergeCell ref="A1:C1"/>
    <mergeCell ref="A22:C22"/>
  </mergeCells>
  <pageMargins left="0.75" right="0.75" top="1" bottom="1" header="0.5" footer="0.5"/>
  <pageSetup scale="87" orientation="portrait" r:id="rId1"/>
  <headerFooter alignWithMargins="0"/>
  <customProperties>
    <customPr name="SheetOptions"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dimension ref="A1:Q42"/>
  <sheetViews>
    <sheetView zoomScaleNormal="100" workbookViewId="0">
      <selection sqref="A1:C1"/>
    </sheetView>
  </sheetViews>
  <sheetFormatPr defaultColWidth="8.6640625" defaultRowHeight="11.25"/>
  <cols>
    <col min="1" max="1" width="90" style="224" customWidth="1"/>
    <col min="2" max="3" width="20" style="229" customWidth="1"/>
    <col min="4" max="4" width="3.6640625" style="1059" customWidth="1"/>
    <col min="5" max="5" width="16.5" style="1059" bestFit="1" customWidth="1"/>
    <col min="6" max="9" width="3.6640625" style="1059" customWidth="1"/>
    <col min="10" max="10" width="8.5" style="1059" customWidth="1"/>
    <col min="11" max="17" width="3.6640625" style="205" customWidth="1"/>
    <col min="18" max="16384" width="8.6640625" style="1151"/>
  </cols>
  <sheetData>
    <row r="1" spans="1:17" ht="15.75">
      <c r="A1" s="1252" t="s">
        <v>1511</v>
      </c>
      <c r="B1" s="1355"/>
      <c r="C1" s="1355"/>
    </row>
    <row r="2" spans="1:17">
      <c r="A2" s="763"/>
      <c r="B2" s="331"/>
      <c r="C2" s="437"/>
      <c r="K2" s="763"/>
      <c r="L2" s="763"/>
      <c r="M2" s="763"/>
      <c r="N2" s="763"/>
      <c r="O2" s="763"/>
      <c r="P2" s="763"/>
      <c r="Q2" s="763"/>
    </row>
    <row r="3" spans="1:17" ht="11.25" customHeight="1">
      <c r="A3" s="288" t="s">
        <v>700</v>
      </c>
      <c r="B3" s="550">
        <v>2019</v>
      </c>
      <c r="C3" s="291">
        <v>2018</v>
      </c>
    </row>
    <row r="4" spans="1:17" ht="11.25" customHeight="1">
      <c r="A4" s="915" t="s">
        <v>51</v>
      </c>
      <c r="B4" s="540">
        <v>24</v>
      </c>
      <c r="C4" s="442">
        <v>12</v>
      </c>
    </row>
    <row r="5" spans="1:17" ht="11.25" customHeight="1">
      <c r="A5" s="915" t="s">
        <v>510</v>
      </c>
      <c r="B5" s="540">
        <v>6</v>
      </c>
      <c r="C5" s="442">
        <v>3</v>
      </c>
    </row>
    <row r="6" spans="1:17" ht="11.25" customHeight="1">
      <c r="A6" s="915" t="s">
        <v>34</v>
      </c>
      <c r="B6" s="540">
        <v>6</v>
      </c>
      <c r="C6" s="442">
        <v>5</v>
      </c>
    </row>
    <row r="7" spans="1:17" ht="11.25" customHeight="1">
      <c r="A7" s="915" t="s">
        <v>328</v>
      </c>
      <c r="B7" s="540">
        <v>3</v>
      </c>
      <c r="C7" s="442">
        <v>3</v>
      </c>
    </row>
    <row r="8" spans="1:17" ht="11.25" customHeight="1">
      <c r="A8" s="915" t="s">
        <v>1384</v>
      </c>
      <c r="B8" s="540">
        <v>14</v>
      </c>
      <c r="C8" s="442">
        <v>6</v>
      </c>
    </row>
    <row r="9" spans="1:17" ht="11.25" customHeight="1">
      <c r="A9" s="915" t="s">
        <v>431</v>
      </c>
      <c r="B9" s="540">
        <v>41</v>
      </c>
      <c r="C9" s="442">
        <v>42</v>
      </c>
    </row>
    <row r="10" spans="1:17" ht="11.25" customHeight="1">
      <c r="A10" s="915" t="s">
        <v>84</v>
      </c>
      <c r="B10" s="540">
        <v>2</v>
      </c>
      <c r="C10" s="442">
        <v>3</v>
      </c>
    </row>
    <row r="11" spans="1:17" ht="11.25" customHeight="1">
      <c r="A11" s="915" t="s">
        <v>692</v>
      </c>
      <c r="B11" s="540">
        <v>1</v>
      </c>
      <c r="C11" s="442"/>
    </row>
    <row r="12" spans="1:17" ht="11.25" customHeight="1">
      <c r="A12" s="915" t="s">
        <v>432</v>
      </c>
      <c r="B12" s="540">
        <v>111</v>
      </c>
      <c r="C12" s="442">
        <v>104</v>
      </c>
    </row>
    <row r="13" spans="1:17" ht="11.25" customHeight="1">
      <c r="A13" s="916" t="s">
        <v>1029</v>
      </c>
      <c r="B13" s="536">
        <v>88</v>
      </c>
      <c r="C13" s="433">
        <v>83</v>
      </c>
    </row>
    <row r="14" spans="1:17" ht="11.25" customHeight="1">
      <c r="A14" s="917" t="s">
        <v>641</v>
      </c>
      <c r="B14" s="537">
        <v>296</v>
      </c>
      <c r="C14" s="452">
        <v>262</v>
      </c>
    </row>
    <row r="15" spans="1:17" ht="11.25" customHeight="1">
      <c r="A15" s="915"/>
      <c r="B15" s="540"/>
      <c r="C15" s="439"/>
    </row>
    <row r="16" spans="1:17" ht="11.25" customHeight="1">
      <c r="A16" s="919" t="s">
        <v>433</v>
      </c>
      <c r="B16" s="540">
        <v>15</v>
      </c>
      <c r="C16" s="442">
        <v>34</v>
      </c>
    </row>
    <row r="17" spans="1:17" ht="11.25" customHeight="1">
      <c r="A17" s="919" t="s">
        <v>434</v>
      </c>
      <c r="B17" s="540">
        <v>281</v>
      </c>
      <c r="C17" s="442">
        <v>228</v>
      </c>
    </row>
    <row r="19" spans="1:17" ht="11.25" customHeight="1">
      <c r="A19" s="1263" t="s">
        <v>1620</v>
      </c>
      <c r="B19" s="1263"/>
      <c r="C19" s="1263"/>
    </row>
    <row r="20" spans="1:17" ht="11.25" customHeight="1">
      <c r="A20" s="1263"/>
      <c r="B20" s="1263"/>
      <c r="C20" s="1263"/>
      <c r="K20" s="1054"/>
      <c r="L20" s="1054"/>
      <c r="M20" s="1054"/>
      <c r="N20" s="1054"/>
      <c r="O20" s="1054"/>
      <c r="P20" s="1054"/>
      <c r="Q20" s="1054"/>
    </row>
    <row r="21" spans="1:17">
      <c r="A21" s="1055"/>
      <c r="C21" s="1059"/>
    </row>
    <row r="22" spans="1:17">
      <c r="C22" s="1059"/>
    </row>
    <row r="23" spans="1:17">
      <c r="C23" s="1059"/>
    </row>
    <row r="24" spans="1:17">
      <c r="C24" s="1059"/>
    </row>
    <row r="25" spans="1:17">
      <c r="C25" s="1059"/>
    </row>
    <row r="26" spans="1:17">
      <c r="C26" s="1059"/>
    </row>
    <row r="27" spans="1:17">
      <c r="C27" s="1059"/>
    </row>
    <row r="28" spans="1:17">
      <c r="C28" s="1059"/>
    </row>
    <row r="29" spans="1:17">
      <c r="C29" s="1059"/>
    </row>
    <row r="30" spans="1:17">
      <c r="C30" s="1059"/>
    </row>
    <row r="31" spans="1:17">
      <c r="C31" s="1059"/>
    </row>
    <row r="32" spans="1:17">
      <c r="C32" s="1059"/>
    </row>
    <row r="33" spans="3:3">
      <c r="C33" s="1059"/>
    </row>
    <row r="34" spans="3:3">
      <c r="C34" s="1059"/>
    </row>
    <row r="35" spans="3:3">
      <c r="C35" s="1059"/>
    </row>
    <row r="36" spans="3:3">
      <c r="C36" s="1059"/>
    </row>
    <row r="37" spans="3:3">
      <c r="C37" s="1059"/>
    </row>
    <row r="38" spans="3:3">
      <c r="C38" s="1059"/>
    </row>
    <row r="39" spans="3:3">
      <c r="C39" s="1059"/>
    </row>
    <row r="40" spans="3:3">
      <c r="C40" s="1059"/>
    </row>
    <row r="41" spans="3:3">
      <c r="C41" s="1059"/>
    </row>
    <row r="42" spans="3:3">
      <c r="C42" s="1059"/>
    </row>
  </sheetData>
  <mergeCells count="2">
    <mergeCell ref="A1:C1"/>
    <mergeCell ref="A19:C20"/>
  </mergeCells>
  <phoneticPr fontId="0" type="noConversion"/>
  <pageMargins left="0.75" right="0.75" top="1" bottom="1" header="0.5" footer="0.5"/>
  <pageSetup scale="87"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Q77"/>
  <sheetViews>
    <sheetView zoomScaleNormal="100" workbookViewId="0">
      <selection sqref="A1:C1"/>
    </sheetView>
  </sheetViews>
  <sheetFormatPr defaultColWidth="8.6640625" defaultRowHeight="11.25"/>
  <cols>
    <col min="1" max="1" width="118.33203125" style="224" customWidth="1"/>
    <col min="2" max="2" width="3.33203125" style="224" customWidth="1"/>
    <col min="3" max="3" width="8.33203125" style="228" customWidth="1"/>
    <col min="4" max="17" width="3.6640625" style="239" customWidth="1"/>
    <col min="18" max="16384" width="8.6640625" style="1151"/>
  </cols>
  <sheetData>
    <row r="1" spans="1:3" ht="15.75">
      <c r="A1" s="1248" t="s">
        <v>922</v>
      </c>
      <c r="B1" s="1248"/>
      <c r="C1" s="1248"/>
    </row>
    <row r="2" spans="1:3">
      <c r="A2" s="905"/>
      <c r="B2" s="603"/>
      <c r="C2" s="948"/>
    </row>
    <row r="3" spans="1:3">
      <c r="A3" s="241" t="s">
        <v>680</v>
      </c>
      <c r="B3" s="241"/>
    </row>
    <row r="4" spans="1:3">
      <c r="A4" s="424" t="s">
        <v>681</v>
      </c>
      <c r="B4" s="424"/>
      <c r="C4" s="1249" t="s">
        <v>28</v>
      </c>
    </row>
    <row r="5" spans="1:3">
      <c r="A5" s="245" t="s">
        <v>1089</v>
      </c>
      <c r="B5" s="245"/>
      <c r="C5" s="1249"/>
    </row>
    <row r="6" spans="1:3">
      <c r="A6" s="226"/>
      <c r="B6" s="226"/>
    </row>
    <row r="7" spans="1:3">
      <c r="A7" s="241" t="s">
        <v>327</v>
      </c>
      <c r="B7" s="241"/>
    </row>
    <row r="8" spans="1:3">
      <c r="A8" s="431" t="s">
        <v>487</v>
      </c>
      <c r="B8" s="424"/>
      <c r="C8" s="1249" t="s">
        <v>28</v>
      </c>
    </row>
    <row r="9" spans="1:3">
      <c r="A9" s="226" t="s">
        <v>1090</v>
      </c>
      <c r="B9" s="245"/>
      <c r="C9" s="1249"/>
    </row>
    <row r="10" spans="1:3">
      <c r="A10" s="226"/>
      <c r="B10" s="226"/>
    </row>
    <row r="11" spans="1:3">
      <c r="A11" s="241" t="s">
        <v>832</v>
      </c>
      <c r="B11" s="241"/>
      <c r="C11" s="857"/>
    </row>
    <row r="12" spans="1:3">
      <c r="A12" s="1247" t="s">
        <v>1649</v>
      </c>
      <c r="B12" s="1247"/>
      <c r="C12" s="1247"/>
    </row>
    <row r="13" spans="1:3">
      <c r="A13" s="895"/>
      <c r="B13" s="895"/>
      <c r="C13" s="895"/>
    </row>
    <row r="14" spans="1:3">
      <c r="A14" s="241" t="s">
        <v>1020</v>
      </c>
      <c r="B14" s="241"/>
      <c r="C14" s="857"/>
    </row>
    <row r="15" spans="1:3" ht="22.5" customHeight="1">
      <c r="A15" s="1247" t="s">
        <v>1593</v>
      </c>
      <c r="B15" s="1247"/>
      <c r="C15" s="1247"/>
    </row>
    <row r="16" spans="1:3">
      <c r="A16" s="226"/>
      <c r="B16" s="226"/>
    </row>
    <row r="17" spans="1:17">
      <c r="A17" s="241" t="s">
        <v>836</v>
      </c>
      <c r="B17" s="241"/>
    </row>
    <row r="18" spans="1:17">
      <c r="A18" s="424" t="s">
        <v>936</v>
      </c>
      <c r="B18" s="424"/>
      <c r="C18" s="949"/>
    </row>
    <row r="19" spans="1:17">
      <c r="A19" s="245" t="s">
        <v>407</v>
      </c>
      <c r="B19" s="245"/>
      <c r="C19" s="949"/>
    </row>
    <row r="20" spans="1:17">
      <c r="A20" s="226"/>
      <c r="B20" s="226"/>
    </row>
    <row r="21" spans="1:17">
      <c r="A21" s="241" t="s">
        <v>488</v>
      </c>
      <c r="B21" s="241"/>
    </row>
    <row r="22" spans="1:17">
      <c r="A22" s="424" t="s">
        <v>315</v>
      </c>
      <c r="B22" s="424"/>
      <c r="C22" s="1249" t="s">
        <v>28</v>
      </c>
    </row>
    <row r="23" spans="1:17">
      <c r="A23" s="245" t="s">
        <v>749</v>
      </c>
      <c r="B23" s="245"/>
      <c r="C23" s="1249"/>
    </row>
    <row r="24" spans="1:17">
      <c r="A24" s="226"/>
      <c r="B24" s="226"/>
    </row>
    <row r="25" spans="1:17">
      <c r="A25" s="241" t="s">
        <v>376</v>
      </c>
      <c r="B25" s="241"/>
    </row>
    <row r="26" spans="1:17">
      <c r="A26" s="424" t="s">
        <v>750</v>
      </c>
      <c r="B26" s="424"/>
      <c r="C26" s="857"/>
      <c r="D26" s="205"/>
      <c r="E26" s="205"/>
      <c r="F26" s="205"/>
      <c r="G26" s="205"/>
      <c r="H26" s="205"/>
      <c r="I26" s="205"/>
      <c r="J26" s="205"/>
      <c r="K26" s="205"/>
      <c r="L26" s="205"/>
      <c r="M26" s="205"/>
      <c r="N26" s="205"/>
      <c r="O26" s="205"/>
      <c r="P26" s="205"/>
      <c r="Q26" s="205"/>
    </row>
    <row r="27" spans="1:17">
      <c r="A27" s="245" t="s">
        <v>315</v>
      </c>
      <c r="B27" s="245"/>
      <c r="C27" s="857"/>
      <c r="D27" s="205"/>
      <c r="E27" s="205"/>
      <c r="F27" s="205"/>
      <c r="G27" s="205"/>
      <c r="H27" s="205"/>
      <c r="I27" s="205"/>
      <c r="J27" s="205"/>
      <c r="K27" s="205"/>
      <c r="L27" s="205"/>
      <c r="M27" s="205"/>
      <c r="N27" s="205"/>
      <c r="O27" s="205"/>
      <c r="P27" s="205"/>
      <c r="Q27" s="205"/>
    </row>
    <row r="28" spans="1:17">
      <c r="A28" s="226"/>
      <c r="B28" s="226"/>
      <c r="C28" s="857"/>
      <c r="D28" s="205"/>
      <c r="E28" s="205"/>
      <c r="F28" s="205"/>
      <c r="G28" s="205"/>
      <c r="H28" s="205"/>
      <c r="I28" s="205"/>
      <c r="J28" s="205"/>
      <c r="K28" s="205"/>
      <c r="L28" s="205"/>
      <c r="M28" s="205"/>
      <c r="N28" s="205"/>
      <c r="O28" s="205"/>
      <c r="P28" s="205"/>
      <c r="Q28" s="205"/>
    </row>
    <row r="29" spans="1:17">
      <c r="A29" s="241" t="s">
        <v>1042</v>
      </c>
      <c r="B29" s="241"/>
      <c r="C29" s="857"/>
      <c r="D29" s="205"/>
      <c r="E29" s="205"/>
      <c r="F29" s="205"/>
      <c r="G29" s="205"/>
      <c r="H29" s="205"/>
      <c r="I29" s="205"/>
      <c r="J29" s="205"/>
      <c r="K29" s="205"/>
      <c r="L29" s="205"/>
      <c r="M29" s="205"/>
      <c r="N29" s="205"/>
      <c r="O29" s="205"/>
      <c r="P29" s="205"/>
      <c r="Q29" s="205"/>
    </row>
    <row r="30" spans="1:17">
      <c r="A30" s="424" t="s">
        <v>1197</v>
      </c>
      <c r="B30" s="431"/>
      <c r="C30" s="857"/>
      <c r="D30" s="205"/>
      <c r="E30" s="205"/>
      <c r="F30" s="205"/>
      <c r="G30" s="205"/>
      <c r="H30" s="205"/>
      <c r="I30" s="205"/>
      <c r="J30" s="205"/>
      <c r="K30" s="205"/>
      <c r="L30" s="205"/>
      <c r="M30" s="205"/>
      <c r="N30" s="205"/>
      <c r="O30" s="205"/>
      <c r="P30" s="205"/>
      <c r="Q30" s="205"/>
    </row>
    <row r="31" spans="1:17">
      <c r="A31" s="245" t="s">
        <v>1091</v>
      </c>
      <c r="B31" s="226"/>
      <c r="C31" s="857"/>
      <c r="D31" s="205"/>
      <c r="E31" s="205"/>
      <c r="F31" s="205"/>
      <c r="G31" s="205"/>
      <c r="H31" s="205"/>
      <c r="I31" s="205"/>
      <c r="J31" s="205"/>
      <c r="K31" s="205"/>
      <c r="L31" s="205"/>
      <c r="M31" s="205"/>
      <c r="N31" s="205"/>
      <c r="O31" s="205"/>
      <c r="P31" s="205"/>
      <c r="Q31" s="205"/>
    </row>
    <row r="32" spans="1:17">
      <c r="A32" s="226"/>
      <c r="B32" s="226"/>
      <c r="C32" s="857"/>
      <c r="D32" s="205"/>
      <c r="E32" s="205"/>
      <c r="F32" s="205"/>
      <c r="G32" s="205"/>
      <c r="H32" s="205"/>
      <c r="I32" s="205"/>
      <c r="J32" s="205"/>
      <c r="K32" s="205"/>
      <c r="L32" s="205"/>
      <c r="M32" s="205"/>
      <c r="N32" s="205"/>
      <c r="O32" s="205"/>
      <c r="P32" s="205"/>
      <c r="Q32" s="205"/>
    </row>
    <row r="33" spans="1:17">
      <c r="A33" s="241" t="s">
        <v>489</v>
      </c>
      <c r="B33" s="241"/>
      <c r="C33" s="857"/>
      <c r="D33" s="205"/>
      <c r="E33" s="205"/>
      <c r="F33" s="205"/>
      <c r="G33" s="205"/>
      <c r="H33" s="205"/>
      <c r="I33" s="205"/>
      <c r="J33" s="205"/>
      <c r="K33" s="205"/>
      <c r="L33" s="205"/>
      <c r="M33" s="205"/>
      <c r="N33" s="205"/>
      <c r="O33" s="205"/>
      <c r="P33" s="205"/>
      <c r="Q33" s="205"/>
    </row>
    <row r="34" spans="1:17">
      <c r="A34" s="431" t="s">
        <v>389</v>
      </c>
      <c r="B34" s="424"/>
      <c r="C34" s="857"/>
      <c r="D34" s="205"/>
      <c r="E34" s="205"/>
      <c r="F34" s="205"/>
      <c r="G34" s="205"/>
      <c r="H34" s="205"/>
      <c r="I34" s="205"/>
      <c r="J34" s="205"/>
      <c r="K34" s="205"/>
      <c r="L34" s="205"/>
      <c r="M34" s="205"/>
      <c r="N34" s="205"/>
      <c r="O34" s="205"/>
      <c r="P34" s="205"/>
      <c r="Q34" s="205"/>
    </row>
    <row r="35" spans="1:17">
      <c r="A35" s="226" t="s">
        <v>1092</v>
      </c>
      <c r="B35" s="245"/>
      <c r="C35" s="857"/>
      <c r="D35" s="205"/>
      <c r="E35" s="205"/>
      <c r="F35" s="205"/>
      <c r="G35" s="205"/>
      <c r="H35" s="205"/>
      <c r="I35" s="205"/>
      <c r="J35" s="205"/>
      <c r="K35" s="205"/>
      <c r="L35" s="205"/>
      <c r="M35" s="205"/>
      <c r="N35" s="205"/>
      <c r="O35" s="205"/>
      <c r="P35" s="205"/>
      <c r="Q35" s="205"/>
    </row>
    <row r="36" spans="1:17">
      <c r="A36" s="226"/>
      <c r="B36" s="226"/>
      <c r="C36" s="857"/>
      <c r="D36" s="205"/>
      <c r="E36" s="205"/>
      <c r="F36" s="205"/>
      <c r="G36" s="205"/>
      <c r="H36" s="205"/>
      <c r="I36" s="205"/>
      <c r="J36" s="205"/>
      <c r="K36" s="205"/>
      <c r="L36" s="205"/>
      <c r="M36" s="205"/>
      <c r="N36" s="205"/>
      <c r="O36" s="205"/>
      <c r="P36" s="205"/>
      <c r="Q36" s="205"/>
    </row>
    <row r="37" spans="1:17">
      <c r="A37" s="241" t="s">
        <v>834</v>
      </c>
      <c r="B37" s="241"/>
      <c r="C37" s="857"/>
      <c r="D37" s="205"/>
      <c r="E37" s="205"/>
      <c r="F37" s="205"/>
      <c r="G37" s="205"/>
      <c r="H37" s="205"/>
      <c r="I37" s="205"/>
      <c r="J37" s="205"/>
      <c r="K37" s="205"/>
      <c r="L37" s="205"/>
      <c r="M37" s="205"/>
      <c r="N37" s="205"/>
      <c r="O37" s="205"/>
      <c r="P37" s="205"/>
      <c r="Q37" s="205"/>
    </row>
    <row r="38" spans="1:17">
      <c r="A38" s="424" t="s">
        <v>1093</v>
      </c>
      <c r="B38" s="424"/>
      <c r="C38" s="857"/>
      <c r="D38" s="205"/>
      <c r="E38" s="205"/>
      <c r="F38" s="205"/>
      <c r="G38" s="205"/>
      <c r="H38" s="205"/>
      <c r="I38" s="205"/>
      <c r="J38" s="205"/>
      <c r="K38" s="205"/>
      <c r="L38" s="205"/>
      <c r="M38" s="205"/>
      <c r="N38" s="205"/>
      <c r="O38" s="205"/>
      <c r="P38" s="205"/>
      <c r="Q38" s="205"/>
    </row>
    <row r="39" spans="1:17">
      <c r="A39" s="245" t="s">
        <v>1092</v>
      </c>
      <c r="B39" s="245"/>
      <c r="C39" s="857"/>
      <c r="D39" s="205"/>
      <c r="E39" s="205"/>
      <c r="F39" s="205"/>
      <c r="G39" s="205"/>
      <c r="H39" s="205"/>
      <c r="I39" s="205"/>
      <c r="J39" s="205"/>
      <c r="K39" s="205"/>
      <c r="L39" s="205"/>
      <c r="M39" s="205"/>
      <c r="N39" s="205"/>
      <c r="O39" s="205"/>
      <c r="P39" s="205"/>
      <c r="Q39" s="205"/>
    </row>
    <row r="40" spans="1:17">
      <c r="A40" s="226"/>
      <c r="B40" s="226"/>
    </row>
    <row r="41" spans="1:17">
      <c r="A41" s="241" t="s">
        <v>835</v>
      </c>
      <c r="B41" s="241"/>
    </row>
    <row r="42" spans="1:17">
      <c r="A42" s="424" t="s">
        <v>834</v>
      </c>
      <c r="B42" s="424"/>
      <c r="C42" s="1249" t="s">
        <v>28</v>
      </c>
    </row>
    <row r="43" spans="1:17">
      <c r="A43" s="245" t="s">
        <v>1042</v>
      </c>
      <c r="B43" s="245"/>
      <c r="C43" s="1249"/>
    </row>
    <row r="44" spans="1:17">
      <c r="A44" s="226"/>
      <c r="B44" s="226"/>
    </row>
    <row r="45" spans="1:17">
      <c r="A45" s="241" t="s">
        <v>55</v>
      </c>
      <c r="B45" s="241"/>
    </row>
    <row r="46" spans="1:17">
      <c r="A46" s="424" t="s">
        <v>834</v>
      </c>
      <c r="B46" s="424"/>
      <c r="C46" s="1249" t="s">
        <v>28</v>
      </c>
    </row>
    <row r="47" spans="1:17">
      <c r="A47" s="245" t="s">
        <v>1094</v>
      </c>
      <c r="B47" s="245"/>
      <c r="C47" s="1249"/>
    </row>
    <row r="48" spans="1:17">
      <c r="A48" s="226"/>
      <c r="B48" s="226"/>
    </row>
    <row r="49" spans="1:17">
      <c r="A49" s="241" t="s">
        <v>56</v>
      </c>
      <c r="B49" s="241"/>
      <c r="C49" s="857"/>
      <c r="D49" s="205"/>
      <c r="E49" s="205"/>
      <c r="F49" s="205"/>
      <c r="G49" s="205"/>
      <c r="H49" s="205"/>
      <c r="I49" s="205"/>
      <c r="J49" s="205"/>
      <c r="K49" s="205"/>
      <c r="L49" s="205"/>
      <c r="M49" s="205"/>
      <c r="N49" s="205"/>
      <c r="O49" s="205"/>
    </row>
    <row r="50" spans="1:17">
      <c r="A50" s="431" t="s">
        <v>1094</v>
      </c>
      <c r="B50" s="424"/>
      <c r="C50" s="857"/>
      <c r="D50" s="205"/>
      <c r="E50" s="205"/>
      <c r="F50" s="205"/>
      <c r="G50" s="205"/>
      <c r="H50" s="205"/>
      <c r="I50" s="205"/>
      <c r="J50" s="205"/>
      <c r="K50" s="205"/>
      <c r="L50" s="205"/>
      <c r="M50" s="205"/>
      <c r="N50" s="205"/>
      <c r="O50" s="205"/>
    </row>
    <row r="51" spans="1:17">
      <c r="A51" s="226" t="s">
        <v>1042</v>
      </c>
      <c r="B51" s="245"/>
      <c r="C51" s="857"/>
      <c r="D51" s="205"/>
      <c r="E51" s="205"/>
      <c r="F51" s="205"/>
      <c r="G51" s="205"/>
      <c r="H51" s="205"/>
      <c r="I51" s="205"/>
      <c r="J51" s="205"/>
      <c r="K51" s="205"/>
      <c r="L51" s="205"/>
      <c r="M51" s="205"/>
      <c r="N51" s="205"/>
      <c r="O51" s="205"/>
    </row>
    <row r="52" spans="1:17">
      <c r="A52" s="226"/>
      <c r="B52" s="226"/>
      <c r="C52" s="857"/>
      <c r="D52" s="205"/>
      <c r="E52" s="205"/>
      <c r="F52" s="205"/>
      <c r="G52" s="205"/>
      <c r="H52" s="205"/>
      <c r="I52" s="205"/>
      <c r="J52" s="205"/>
      <c r="K52" s="205"/>
      <c r="L52" s="205"/>
      <c r="M52" s="205"/>
      <c r="N52" s="205"/>
      <c r="O52" s="205"/>
    </row>
    <row r="53" spans="1:17">
      <c r="A53" s="243" t="s">
        <v>869</v>
      </c>
      <c r="B53" s="243"/>
      <c r="C53" s="857"/>
      <c r="D53" s="205"/>
      <c r="E53" s="205"/>
      <c r="F53" s="205"/>
      <c r="G53" s="205"/>
      <c r="H53" s="205"/>
      <c r="I53" s="205"/>
      <c r="J53" s="205"/>
      <c r="K53" s="205"/>
      <c r="L53" s="205"/>
      <c r="M53" s="205"/>
      <c r="N53" s="205"/>
      <c r="O53" s="205"/>
      <c r="P53" s="244"/>
      <c r="Q53" s="244"/>
    </row>
    <row r="54" spans="1:17">
      <c r="A54" s="424" t="s">
        <v>1094</v>
      </c>
      <c r="B54" s="431"/>
      <c r="C54" s="857"/>
      <c r="D54" s="205"/>
      <c r="E54" s="205"/>
      <c r="F54" s="205"/>
      <c r="G54" s="205"/>
      <c r="H54" s="205"/>
      <c r="I54" s="205"/>
      <c r="J54" s="205"/>
      <c r="K54" s="205"/>
      <c r="L54" s="205"/>
      <c r="M54" s="205"/>
      <c r="N54" s="205"/>
      <c r="O54" s="205"/>
    </row>
    <row r="55" spans="1:17">
      <c r="A55" s="245" t="s">
        <v>489</v>
      </c>
      <c r="B55" s="226"/>
      <c r="C55" s="857"/>
      <c r="D55" s="205"/>
      <c r="E55" s="205"/>
      <c r="F55" s="205"/>
      <c r="G55" s="205"/>
      <c r="H55" s="205"/>
      <c r="I55" s="205"/>
      <c r="J55" s="205"/>
      <c r="K55" s="205"/>
      <c r="L55" s="205"/>
      <c r="M55" s="205"/>
      <c r="N55" s="205"/>
      <c r="O55" s="205"/>
    </row>
    <row r="56" spans="1:17">
      <c r="A56" s="226"/>
      <c r="B56" s="226"/>
      <c r="C56" s="857"/>
      <c r="D56" s="205"/>
      <c r="E56" s="205"/>
      <c r="F56" s="205"/>
      <c r="G56" s="205"/>
      <c r="H56" s="205"/>
      <c r="I56" s="205"/>
      <c r="J56" s="205"/>
      <c r="K56" s="205"/>
      <c r="L56" s="205"/>
      <c r="M56" s="205"/>
      <c r="N56" s="205"/>
      <c r="O56" s="205"/>
    </row>
    <row r="57" spans="1:17">
      <c r="A57" s="241" t="s">
        <v>930</v>
      </c>
      <c r="B57" s="241"/>
      <c r="C57" s="857"/>
      <c r="D57" s="205"/>
      <c r="E57" s="205"/>
      <c r="F57" s="205"/>
      <c r="G57" s="205"/>
      <c r="H57" s="205"/>
      <c r="I57" s="205"/>
      <c r="J57" s="205"/>
      <c r="K57" s="205"/>
      <c r="L57" s="205"/>
      <c r="M57" s="205"/>
      <c r="N57" s="205"/>
      <c r="O57" s="205"/>
    </row>
    <row r="58" spans="1:17" ht="22.5" customHeight="1">
      <c r="A58" s="1247" t="s">
        <v>1234</v>
      </c>
      <c r="B58" s="1247"/>
      <c r="C58" s="1247"/>
    </row>
    <row r="59" spans="1:17" ht="11.25" customHeight="1">
      <c r="A59" s="895"/>
      <c r="B59" s="895"/>
      <c r="C59" s="895"/>
    </row>
    <row r="60" spans="1:17" s="1206" customFormat="1" ht="11.25" customHeight="1">
      <c r="A60" s="1203" t="s">
        <v>415</v>
      </c>
      <c r="B60" s="1204"/>
      <c r="C60" s="1204"/>
      <c r="D60" s="1205"/>
      <c r="E60" s="1205"/>
      <c r="F60" s="1205"/>
      <c r="G60" s="1205"/>
      <c r="H60" s="1205"/>
      <c r="I60" s="1205"/>
      <c r="J60" s="1205"/>
      <c r="K60" s="1205"/>
      <c r="L60" s="1205"/>
      <c r="M60" s="1205"/>
      <c r="N60" s="1205"/>
      <c r="O60" s="1205"/>
      <c r="P60" s="1205"/>
      <c r="Q60" s="1205"/>
    </row>
    <row r="61" spans="1:17" ht="23.25" customHeight="1">
      <c r="A61" s="1250" t="s">
        <v>1471</v>
      </c>
      <c r="B61" s="1250"/>
      <c r="C61" s="1250"/>
    </row>
    <row r="62" spans="1:17" ht="11.25" customHeight="1">
      <c r="A62" s="895"/>
      <c r="B62" s="895"/>
      <c r="C62" s="895"/>
    </row>
    <row r="63" spans="1:17" ht="11.25" customHeight="1">
      <c r="A63" s="241" t="s">
        <v>1148</v>
      </c>
      <c r="B63" s="895"/>
      <c r="C63" s="895"/>
    </row>
    <row r="64" spans="1:17" ht="11.25" customHeight="1">
      <c r="A64" s="1250" t="s">
        <v>1650</v>
      </c>
      <c r="B64" s="1250"/>
      <c r="C64" s="1250"/>
    </row>
    <row r="65" spans="1:3" ht="11.25" customHeight="1">
      <c r="A65" s="896"/>
      <c r="B65" s="896"/>
      <c r="C65" s="896"/>
    </row>
    <row r="66" spans="1:3" ht="11.25" customHeight="1">
      <c r="A66" s="241" t="s">
        <v>191</v>
      </c>
      <c r="B66" s="895"/>
      <c r="C66" s="895"/>
    </row>
    <row r="67" spans="1:3" ht="11.25" customHeight="1">
      <c r="A67" s="1250" t="s">
        <v>1602</v>
      </c>
      <c r="B67" s="1250"/>
      <c r="C67" s="1250"/>
    </row>
    <row r="68" spans="1:3" ht="11.25" customHeight="1">
      <c r="A68" s="895"/>
      <c r="B68" s="895"/>
      <c r="C68" s="895"/>
    </row>
    <row r="69" spans="1:3" ht="11.25" customHeight="1">
      <c r="A69" s="241" t="s">
        <v>1124</v>
      </c>
      <c r="B69" s="895"/>
      <c r="C69" s="895"/>
    </row>
    <row r="70" spans="1:3" ht="11.25" customHeight="1">
      <c r="A70" s="1239" t="s">
        <v>1126</v>
      </c>
      <c r="B70" s="1239"/>
      <c r="C70" s="1239"/>
    </row>
    <row r="71" spans="1:3" ht="11.25" customHeight="1">
      <c r="A71" s="226"/>
      <c r="B71" s="226"/>
    </row>
    <row r="72" spans="1:3" ht="11.25" customHeight="1">
      <c r="A72" s="241" t="s">
        <v>1125</v>
      </c>
      <c r="B72" s="241"/>
    </row>
    <row r="73" spans="1:3" ht="11.25" customHeight="1">
      <c r="A73" s="1239" t="s">
        <v>1167</v>
      </c>
      <c r="B73" s="1239"/>
      <c r="C73" s="1239"/>
    </row>
    <row r="74" spans="1:3" ht="11.25" customHeight="1">
      <c r="A74" s="905"/>
      <c r="B74" s="905"/>
    </row>
    <row r="75" spans="1:3" ht="11.25" customHeight="1">
      <c r="A75" s="241" t="s">
        <v>1127</v>
      </c>
      <c r="B75" s="905"/>
    </row>
    <row r="76" spans="1:3" ht="45.75" customHeight="1">
      <c r="A76" s="1246" t="s">
        <v>1596</v>
      </c>
      <c r="B76" s="1246"/>
      <c r="C76" s="1246"/>
    </row>
    <row r="77" spans="1:3">
      <c r="A77" s="846"/>
      <c r="B77" s="846"/>
    </row>
  </sheetData>
  <mergeCells count="15">
    <mergeCell ref="A76:C76"/>
    <mergeCell ref="A73:C73"/>
    <mergeCell ref="A58:C58"/>
    <mergeCell ref="A1:C1"/>
    <mergeCell ref="C46:C47"/>
    <mergeCell ref="C42:C43"/>
    <mergeCell ref="C4:C5"/>
    <mergeCell ref="C8:C9"/>
    <mergeCell ref="C22:C23"/>
    <mergeCell ref="A70:C70"/>
    <mergeCell ref="A67:C67"/>
    <mergeCell ref="A12:C12"/>
    <mergeCell ref="A15:C15"/>
    <mergeCell ref="A61:C61"/>
    <mergeCell ref="A64:C64"/>
  </mergeCells>
  <phoneticPr fontId="49" type="noConversion"/>
  <pageMargins left="0.75" right="0.75" top="1" bottom="1" header="0.5" footer="0.5"/>
  <pageSetup paperSize="9" scale="82" orientation="portrait" r:id="rId1"/>
  <headerFooter alignWithMargins="0"/>
  <customProperties>
    <customPr name="SheetOptions" r:id="rId2"/>
    <customPr name="WORKBKFUNCTIONCACHE" r:id="rId3"/>
  </customProperties>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dimension ref="A1:Q10"/>
  <sheetViews>
    <sheetView zoomScaleNormal="100" workbookViewId="0">
      <selection sqref="A1:C1"/>
    </sheetView>
  </sheetViews>
  <sheetFormatPr defaultColWidth="8.6640625" defaultRowHeight="11.25"/>
  <cols>
    <col min="1" max="1" width="90" style="224" customWidth="1"/>
    <col min="2" max="3" width="20" style="229" customWidth="1"/>
    <col min="4" max="17" width="3.6640625" style="205" customWidth="1"/>
    <col min="18" max="16384" width="8.6640625" style="1151"/>
  </cols>
  <sheetData>
    <row r="1" spans="1:3" ht="15.75" customHeight="1">
      <c r="A1" s="1276" t="s">
        <v>1512</v>
      </c>
      <c r="B1" s="1375"/>
      <c r="C1" s="1375"/>
    </row>
    <row r="2" spans="1:3" ht="11.25" customHeight="1">
      <c r="A2" s="332"/>
      <c r="B2" s="326"/>
      <c r="C2" s="326"/>
    </row>
    <row r="3" spans="1:3" ht="11.25" customHeight="1">
      <c r="A3" s="288" t="s">
        <v>700</v>
      </c>
      <c r="B3" s="550">
        <v>2019</v>
      </c>
      <c r="C3" s="291">
        <v>2018</v>
      </c>
    </row>
    <row r="4" spans="1:3" ht="11.25" customHeight="1">
      <c r="A4" s="429" t="s">
        <v>1165</v>
      </c>
      <c r="B4" s="540">
        <v>343</v>
      </c>
      <c r="C4" s="442">
        <v>461</v>
      </c>
    </row>
    <row r="5" spans="1:3" ht="11.25" customHeight="1">
      <c r="A5" s="466" t="s">
        <v>1233</v>
      </c>
      <c r="B5" s="536">
        <v>15</v>
      </c>
      <c r="C5" s="433">
        <v>26</v>
      </c>
    </row>
    <row r="6" spans="1:3" ht="11.25" customHeight="1">
      <c r="A6" s="453" t="s">
        <v>641</v>
      </c>
      <c r="B6" s="537">
        <v>358</v>
      </c>
      <c r="C6" s="452">
        <v>487</v>
      </c>
    </row>
    <row r="8" spans="1:3" ht="22.5" customHeight="1">
      <c r="A8" s="1263" t="s">
        <v>1571</v>
      </c>
      <c r="B8" s="1263"/>
      <c r="C8" s="1263"/>
    </row>
    <row r="9" spans="1:3">
      <c r="A9" s="667"/>
    </row>
    <row r="10" spans="1:3">
      <c r="A10" s="1317" t="s">
        <v>1712</v>
      </c>
      <c r="B10" s="1317"/>
      <c r="C10" s="1317"/>
    </row>
  </sheetData>
  <mergeCells count="3">
    <mergeCell ref="A1:C1"/>
    <mergeCell ref="A8:C8"/>
    <mergeCell ref="A10:C10"/>
  </mergeCells>
  <phoneticPr fontId="0" type="noConversion"/>
  <pageMargins left="0.75" right="0.75" top="1" bottom="1" header="0.5" footer="0.5"/>
  <pageSetup scale="87" orientation="portrait" horizontalDpi="300" r:id="rId1"/>
  <headerFooter alignWithMargins="0"/>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6D004-D99D-4DD4-AB27-CA990864B42C}">
  <sheetPr codeName="Sheet39"/>
  <dimension ref="A1:Q42"/>
  <sheetViews>
    <sheetView zoomScaleNormal="100" workbookViewId="0">
      <selection sqref="A1:G1"/>
    </sheetView>
  </sheetViews>
  <sheetFormatPr defaultColWidth="8.6640625" defaultRowHeight="11.25"/>
  <cols>
    <col min="1" max="1" width="52" style="754" customWidth="1"/>
    <col min="2" max="7" width="13" style="229" customWidth="1"/>
    <col min="8" max="8" width="3.6640625" style="759" customWidth="1"/>
    <col min="9" max="12" width="3.6640625" style="907" customWidth="1"/>
    <col min="13" max="17" width="3.6640625" style="759" customWidth="1"/>
    <col min="18" max="16384" width="8.6640625" style="1151"/>
  </cols>
  <sheetData>
    <row r="1" spans="1:17" ht="15.75" customHeight="1">
      <c r="A1" s="1376" t="s">
        <v>1513</v>
      </c>
      <c r="B1" s="1377"/>
      <c r="C1" s="1377"/>
      <c r="D1" s="1377"/>
      <c r="E1" s="1377"/>
      <c r="F1" s="1377"/>
      <c r="G1" s="1377"/>
    </row>
    <row r="2" spans="1:17" ht="11.25" customHeight="1">
      <c r="A2" s="772"/>
      <c r="B2" s="326"/>
      <c r="C2" s="326"/>
      <c r="D2" s="326"/>
      <c r="E2" s="326"/>
      <c r="F2" s="326"/>
      <c r="G2" s="326"/>
    </row>
    <row r="3" spans="1:17" ht="11.25" customHeight="1">
      <c r="A3" s="1352" t="s">
        <v>1020</v>
      </c>
      <c r="B3" s="1352"/>
      <c r="C3" s="1352"/>
      <c r="D3" s="1352"/>
      <c r="E3" s="1352"/>
      <c r="F3" s="1352"/>
      <c r="G3" s="1352"/>
      <c r="H3" s="766"/>
      <c r="M3" s="766"/>
      <c r="N3" s="766"/>
      <c r="O3" s="766"/>
      <c r="P3" s="766"/>
      <c r="Q3" s="766"/>
    </row>
    <row r="4" spans="1:17" ht="11.25" customHeight="1">
      <c r="A4" s="772"/>
      <c r="B4" s="326"/>
      <c r="C4" s="326"/>
      <c r="D4" s="326"/>
      <c r="E4" s="326"/>
      <c r="F4" s="326"/>
      <c r="G4" s="326"/>
      <c r="H4" s="766"/>
      <c r="M4" s="766"/>
      <c r="N4" s="766"/>
      <c r="O4" s="766"/>
      <c r="P4" s="766"/>
      <c r="Q4" s="766"/>
    </row>
    <row r="5" spans="1:17" ht="11.25" customHeight="1">
      <c r="A5" s="756" t="s">
        <v>700</v>
      </c>
      <c r="B5" s="291"/>
      <c r="C5" s="370"/>
      <c r="D5" s="370"/>
      <c r="E5" s="370"/>
      <c r="F5" s="576">
        <v>2019</v>
      </c>
      <c r="G5" s="291">
        <v>2018</v>
      </c>
    </row>
    <row r="6" spans="1:17" ht="11.25" customHeight="1">
      <c r="A6" s="770" t="s">
        <v>1356</v>
      </c>
      <c r="B6" s="485"/>
      <c r="C6" s="485"/>
      <c r="D6" s="485"/>
      <c r="E6" s="485"/>
      <c r="F6" s="540">
        <v>851</v>
      </c>
      <c r="G6" s="442">
        <v>748</v>
      </c>
    </row>
    <row r="7" spans="1:17" ht="11.25" customHeight="1">
      <c r="A7" s="897" t="s">
        <v>1472</v>
      </c>
      <c r="B7" s="485"/>
      <c r="C7" s="485"/>
      <c r="D7" s="485"/>
      <c r="E7" s="485"/>
      <c r="F7" s="540">
        <v>146</v>
      </c>
      <c r="G7" s="442"/>
      <c r="H7" s="907"/>
      <c r="M7" s="907"/>
      <c r="N7" s="907"/>
      <c r="O7" s="907"/>
      <c r="P7" s="907"/>
      <c r="Q7" s="907"/>
    </row>
    <row r="8" spans="1:17" ht="11.25" customHeight="1">
      <c r="A8" s="897" t="s">
        <v>1357</v>
      </c>
      <c r="B8" s="485"/>
      <c r="C8" s="485"/>
      <c r="D8" s="485"/>
      <c r="E8" s="485"/>
      <c r="F8" s="540">
        <v>58</v>
      </c>
      <c r="G8" s="442">
        <v>74</v>
      </c>
      <c r="H8" s="766"/>
      <c r="M8" s="766"/>
      <c r="N8" s="766"/>
      <c r="O8" s="766"/>
      <c r="P8" s="766"/>
      <c r="Q8" s="766"/>
    </row>
    <row r="9" spans="1:17" ht="11.25" customHeight="1">
      <c r="A9" s="1179" t="s">
        <v>1473</v>
      </c>
      <c r="B9" s="1185"/>
      <c r="C9" s="1185"/>
      <c r="D9" s="1185"/>
      <c r="E9" s="1185"/>
      <c r="F9" s="1130">
        <v>42</v>
      </c>
      <c r="G9" s="1132"/>
      <c r="H9" s="907"/>
      <c r="M9" s="907"/>
      <c r="N9" s="907"/>
      <c r="O9" s="907"/>
      <c r="P9" s="907"/>
      <c r="Q9" s="907"/>
    </row>
    <row r="10" spans="1:17" ht="11.25" customHeight="1">
      <c r="A10" s="768" t="s">
        <v>1299</v>
      </c>
      <c r="B10" s="485"/>
      <c r="C10" s="485"/>
      <c r="D10" s="485"/>
      <c r="E10" s="485"/>
      <c r="F10" s="540">
        <v>1096</v>
      </c>
      <c r="G10" s="442">
        <v>823</v>
      </c>
      <c r="H10" s="766"/>
      <c r="M10" s="766"/>
      <c r="N10" s="766"/>
      <c r="O10" s="766"/>
      <c r="P10" s="766"/>
      <c r="Q10" s="766"/>
    </row>
    <row r="11" spans="1:17" ht="11.25" customHeight="1">
      <c r="A11" s="765"/>
      <c r="B11" s="485"/>
      <c r="C11" s="485"/>
      <c r="D11" s="485"/>
      <c r="E11" s="485"/>
      <c r="F11" s="540"/>
      <c r="G11" s="442"/>
      <c r="H11" s="766"/>
      <c r="M11" s="766"/>
      <c r="N11" s="766"/>
      <c r="O11" s="766"/>
      <c r="P11" s="766"/>
      <c r="Q11" s="766"/>
    </row>
    <row r="12" spans="1:17" ht="11.25" customHeight="1">
      <c r="A12" s="770" t="s">
        <v>337</v>
      </c>
      <c r="B12" s="485"/>
      <c r="C12" s="485"/>
      <c r="D12" s="485"/>
      <c r="E12" s="485"/>
      <c r="F12" s="540">
        <v>-1</v>
      </c>
      <c r="G12" s="442">
        <v>-3</v>
      </c>
      <c r="H12" s="766"/>
      <c r="M12" s="766"/>
      <c r="N12" s="766"/>
      <c r="O12" s="766"/>
      <c r="P12" s="766"/>
      <c r="Q12" s="766"/>
    </row>
    <row r="13" spans="1:17" ht="11.25" customHeight="1">
      <c r="A13" s="1078" t="s">
        <v>528</v>
      </c>
      <c r="B13" s="485"/>
      <c r="C13" s="485"/>
      <c r="D13" s="485"/>
      <c r="E13" s="485"/>
      <c r="F13" s="540">
        <v>-358</v>
      </c>
      <c r="G13" s="442">
        <v>-487</v>
      </c>
      <c r="H13" s="766"/>
      <c r="M13" s="766"/>
      <c r="N13" s="766"/>
      <c r="O13" s="766"/>
      <c r="P13" s="766"/>
      <c r="Q13" s="766"/>
    </row>
    <row r="14" spans="1:17" ht="11.25" customHeight="1">
      <c r="A14" s="1294" t="s">
        <v>1563</v>
      </c>
      <c r="B14" s="1294"/>
      <c r="C14" s="1294"/>
      <c r="D14" s="1294"/>
      <c r="E14" s="1294"/>
      <c r="F14" s="536">
        <v>-11</v>
      </c>
      <c r="G14" s="433"/>
      <c r="H14" s="1079"/>
      <c r="I14" s="1079"/>
      <c r="J14" s="1079"/>
      <c r="K14" s="1079"/>
      <c r="L14" s="1079"/>
      <c r="M14" s="1079"/>
      <c r="N14" s="1079"/>
      <c r="O14" s="1079"/>
      <c r="P14" s="1079"/>
      <c r="Q14" s="1079"/>
    </row>
    <row r="15" spans="1:17" ht="11.25" customHeight="1">
      <c r="A15" s="768" t="s">
        <v>1300</v>
      </c>
      <c r="B15" s="485"/>
      <c r="C15" s="485"/>
      <c r="D15" s="485"/>
      <c r="E15" s="485"/>
      <c r="F15" s="540">
        <v>-370</v>
      </c>
      <c r="G15" s="442">
        <v>-490</v>
      </c>
      <c r="H15" s="766"/>
      <c r="M15" s="766"/>
      <c r="N15" s="766"/>
      <c r="O15" s="766"/>
      <c r="P15" s="766"/>
      <c r="Q15" s="766"/>
    </row>
    <row r="16" spans="1:17" ht="11.25" customHeight="1">
      <c r="A16" s="750"/>
      <c r="B16" s="500"/>
      <c r="C16" s="500"/>
      <c r="D16" s="500"/>
      <c r="E16" s="500"/>
      <c r="F16" s="536"/>
      <c r="G16" s="433"/>
    </row>
    <row r="17" spans="1:17" ht="11.25" customHeight="1">
      <c r="A17" s="788" t="s">
        <v>1341</v>
      </c>
      <c r="B17" s="455"/>
      <c r="C17" s="455"/>
      <c r="D17" s="455"/>
      <c r="E17" s="455"/>
      <c r="F17" s="537">
        <v>726</v>
      </c>
      <c r="G17" s="452">
        <v>333</v>
      </c>
    </row>
    <row r="18" spans="1:17">
      <c r="A18" s="771"/>
      <c r="B18" s="220"/>
      <c r="C18" s="220"/>
      <c r="D18" s="220"/>
      <c r="E18" s="220"/>
      <c r="F18" s="220"/>
      <c r="G18" s="220"/>
    </row>
    <row r="19" spans="1:17">
      <c r="A19" s="1134"/>
      <c r="B19" s="220"/>
      <c r="C19" s="220"/>
      <c r="D19" s="220"/>
      <c r="E19" s="220"/>
      <c r="F19" s="220"/>
      <c r="G19" s="220"/>
      <c r="H19" s="1138"/>
      <c r="I19" s="1138"/>
      <c r="J19" s="1138"/>
      <c r="K19" s="1138"/>
      <c r="L19" s="1138"/>
      <c r="M19" s="1138"/>
      <c r="N19" s="1138"/>
      <c r="O19" s="1138"/>
      <c r="P19" s="1138"/>
      <c r="Q19" s="1138"/>
    </row>
    <row r="20" spans="1:17" s="1206" customFormat="1" ht="11.25" customHeight="1">
      <c r="A20" s="1378" t="s">
        <v>1301</v>
      </c>
      <c r="B20" s="1378"/>
      <c r="C20" s="1378"/>
      <c r="D20" s="1378"/>
      <c r="E20" s="1378"/>
      <c r="F20" s="1378"/>
      <c r="G20" s="1378"/>
    </row>
    <row r="21" spans="1:17" ht="11.25" customHeight="1">
      <c r="A21" s="771"/>
      <c r="B21" s="220"/>
      <c r="C21" s="220"/>
      <c r="D21" s="220"/>
      <c r="E21" s="220"/>
      <c r="F21" s="220"/>
      <c r="G21" s="220"/>
    </row>
    <row r="22" spans="1:17" ht="50.25" customHeight="1">
      <c r="A22" s="767" t="s">
        <v>700</v>
      </c>
      <c r="B22" s="1166"/>
      <c r="C22" s="934" t="s">
        <v>1415</v>
      </c>
      <c r="D22" s="934" t="s">
        <v>1303</v>
      </c>
      <c r="E22" s="934" t="s">
        <v>1417</v>
      </c>
      <c r="F22" s="934" t="s">
        <v>1304</v>
      </c>
      <c r="G22" s="569" t="s">
        <v>1416</v>
      </c>
    </row>
    <row r="23" spans="1:17">
      <c r="A23" s="770" t="s">
        <v>1356</v>
      </c>
      <c r="B23" s="485"/>
      <c r="C23" s="540" t="s">
        <v>1629</v>
      </c>
      <c r="D23" s="540">
        <v>104</v>
      </c>
      <c r="E23" s="540"/>
      <c r="F23" s="540"/>
      <c r="G23" s="540">
        <v>851</v>
      </c>
    </row>
    <row r="24" spans="1:17">
      <c r="A24" s="897" t="s">
        <v>1357</v>
      </c>
      <c r="B24" s="485"/>
      <c r="C24" s="540" t="s">
        <v>1630</v>
      </c>
      <c r="D24" s="540">
        <v>-11</v>
      </c>
      <c r="E24" s="540">
        <v>-5</v>
      </c>
      <c r="F24" s="540"/>
      <c r="G24" s="540">
        <v>58</v>
      </c>
    </row>
    <row r="25" spans="1:17">
      <c r="A25" s="897" t="s">
        <v>1393</v>
      </c>
      <c r="B25" s="485"/>
      <c r="C25" s="540" t="s">
        <v>1631</v>
      </c>
      <c r="D25" s="540">
        <v>-52</v>
      </c>
      <c r="E25" s="540"/>
      <c r="F25" s="540">
        <v>26</v>
      </c>
      <c r="G25" s="540">
        <v>188</v>
      </c>
      <c r="H25" s="907"/>
      <c r="M25" s="907"/>
      <c r="N25" s="907"/>
      <c r="O25" s="907"/>
      <c r="P25" s="907"/>
      <c r="Q25" s="907"/>
    </row>
    <row r="26" spans="1:17">
      <c r="A26" s="897" t="s">
        <v>337</v>
      </c>
      <c r="B26" s="485"/>
      <c r="C26" s="540">
        <v>-3</v>
      </c>
      <c r="D26" s="540">
        <v>2</v>
      </c>
      <c r="E26" s="540"/>
      <c r="F26" s="540"/>
      <c r="G26" s="540">
        <v>-1</v>
      </c>
    </row>
    <row r="27" spans="1:17" ht="11.25" customHeight="1">
      <c r="A27" s="769" t="s">
        <v>528</v>
      </c>
      <c r="B27" s="500"/>
      <c r="C27" s="536">
        <v>-487</v>
      </c>
      <c r="D27" s="536">
        <v>119</v>
      </c>
      <c r="E27" s="536"/>
      <c r="F27" s="536"/>
      <c r="G27" s="1083" t="s">
        <v>1632</v>
      </c>
    </row>
    <row r="28" spans="1:17" ht="11.25" customHeight="1">
      <c r="A28" s="788" t="s">
        <v>1702</v>
      </c>
      <c r="B28" s="455"/>
      <c r="C28" s="537">
        <v>545</v>
      </c>
      <c r="D28" s="537">
        <v>162</v>
      </c>
      <c r="E28" s="537">
        <v>-5</v>
      </c>
      <c r="F28" s="537">
        <v>26</v>
      </c>
      <c r="G28" s="537">
        <v>726</v>
      </c>
    </row>
    <row r="29" spans="1:17" ht="11.25" customHeight="1">
      <c r="A29" s="771"/>
      <c r="B29" s="220"/>
      <c r="C29" s="220"/>
      <c r="D29" s="220"/>
      <c r="E29" s="220"/>
      <c r="F29" s="220"/>
      <c r="G29" s="220"/>
    </row>
    <row r="30" spans="1:17">
      <c r="A30" s="1246" t="s">
        <v>1703</v>
      </c>
      <c r="B30" s="1246"/>
      <c r="C30" s="1246"/>
      <c r="D30" s="1246"/>
      <c r="E30" s="1246"/>
      <c r="F30" s="1246"/>
      <c r="G30" s="1246"/>
      <c r="H30" s="907"/>
      <c r="M30" s="907"/>
      <c r="N30" s="907"/>
      <c r="O30" s="907"/>
      <c r="P30" s="907"/>
      <c r="Q30" s="907"/>
    </row>
    <row r="31" spans="1:17">
      <c r="A31" s="1246" t="s">
        <v>1704</v>
      </c>
      <c r="B31" s="1246"/>
      <c r="C31" s="1246"/>
      <c r="D31" s="1246"/>
      <c r="E31" s="1246"/>
      <c r="F31" s="1246"/>
      <c r="G31" s="1246"/>
      <c r="H31" s="1079"/>
      <c r="I31" s="1079"/>
      <c r="J31" s="1079"/>
      <c r="K31" s="1079"/>
      <c r="L31" s="1079"/>
      <c r="M31" s="1079"/>
      <c r="N31" s="1079"/>
      <c r="O31" s="1079"/>
      <c r="P31" s="1079"/>
      <c r="Q31" s="1079"/>
    </row>
    <row r="32" spans="1:17" s="1161" customFormat="1">
      <c r="A32" s="1246" t="s">
        <v>1628</v>
      </c>
      <c r="B32" s="1246"/>
      <c r="C32" s="1246"/>
      <c r="D32" s="1246"/>
      <c r="E32" s="1246"/>
      <c r="F32" s="1246"/>
      <c r="G32" s="1246"/>
    </row>
    <row r="33" spans="1:17">
      <c r="A33" s="906"/>
      <c r="B33" s="220"/>
      <c r="C33" s="220"/>
      <c r="D33" s="220"/>
      <c r="E33" s="220"/>
      <c r="F33" s="220"/>
      <c r="G33" s="220"/>
      <c r="H33" s="907"/>
      <c r="M33" s="907"/>
      <c r="N33" s="907"/>
      <c r="O33" s="907"/>
      <c r="P33" s="907"/>
      <c r="Q33" s="907"/>
    </row>
    <row r="34" spans="1:17" ht="50.25" customHeight="1">
      <c r="A34" s="767" t="s">
        <v>700</v>
      </c>
      <c r="B34" s="487"/>
      <c r="C34" s="1166" t="s">
        <v>1302</v>
      </c>
      <c r="D34" s="1166" t="s">
        <v>1303</v>
      </c>
      <c r="E34" s="1166" t="s">
        <v>1417</v>
      </c>
      <c r="F34" s="487" t="s">
        <v>1418</v>
      </c>
      <c r="G34" s="487" t="s">
        <v>1305</v>
      </c>
      <c r="H34" s="842"/>
    </row>
    <row r="35" spans="1:17">
      <c r="A35" s="770" t="s">
        <v>1356</v>
      </c>
      <c r="B35" s="442"/>
      <c r="C35" s="442">
        <v>517</v>
      </c>
      <c r="D35" s="442">
        <v>231</v>
      </c>
      <c r="E35" s="442">
        <v>-1</v>
      </c>
      <c r="F35" s="442"/>
      <c r="G35" s="442">
        <v>748</v>
      </c>
    </row>
    <row r="36" spans="1:17">
      <c r="A36" s="770" t="s">
        <v>1357</v>
      </c>
      <c r="B36" s="442"/>
      <c r="C36" s="442">
        <v>102</v>
      </c>
      <c r="D36" s="442">
        <v>-40</v>
      </c>
      <c r="E36" s="442">
        <v>-6</v>
      </c>
      <c r="F36" s="442">
        <v>18</v>
      </c>
      <c r="G36" s="442">
        <v>74</v>
      </c>
    </row>
    <row r="37" spans="1:17">
      <c r="A37" s="770" t="s">
        <v>337</v>
      </c>
      <c r="B37" s="442"/>
      <c r="C37" s="442">
        <v>-5</v>
      </c>
      <c r="D37" s="442">
        <v>-2</v>
      </c>
      <c r="E37" s="442"/>
      <c r="F37" s="442">
        <v>6</v>
      </c>
      <c r="G37" s="442">
        <v>-3</v>
      </c>
    </row>
    <row r="38" spans="1:17">
      <c r="A38" s="769" t="s">
        <v>528</v>
      </c>
      <c r="B38" s="433"/>
      <c r="C38" s="433">
        <v>-379</v>
      </c>
      <c r="D38" s="433">
        <v>-101</v>
      </c>
      <c r="E38" s="433">
        <v>4</v>
      </c>
      <c r="F38" s="433">
        <v>-11</v>
      </c>
      <c r="G38" s="433">
        <v>-487</v>
      </c>
    </row>
    <row r="39" spans="1:17">
      <c r="A39" s="788" t="s">
        <v>1702</v>
      </c>
      <c r="B39" s="452"/>
      <c r="C39" s="452">
        <v>234</v>
      </c>
      <c r="D39" s="452">
        <v>87</v>
      </c>
      <c r="E39" s="452">
        <v>-2</v>
      </c>
      <c r="F39" s="452">
        <v>13</v>
      </c>
      <c r="G39" s="452">
        <v>333</v>
      </c>
    </row>
    <row r="40" spans="1:17">
      <c r="A40" s="771"/>
      <c r="B40" s="220"/>
      <c r="C40" s="220"/>
      <c r="D40" s="220"/>
      <c r="E40" s="220"/>
      <c r="F40" s="220"/>
      <c r="G40" s="220"/>
    </row>
    <row r="41" spans="1:17">
      <c r="A41" s="771"/>
      <c r="B41" s="220"/>
      <c r="C41" s="220"/>
      <c r="D41" s="220"/>
      <c r="E41" s="220"/>
      <c r="F41" s="220"/>
      <c r="G41" s="220"/>
    </row>
    <row r="42" spans="1:17">
      <c r="A42" s="771"/>
      <c r="B42" s="220"/>
      <c r="C42" s="220"/>
      <c r="D42" s="220"/>
      <c r="E42" s="220"/>
      <c r="F42" s="220"/>
      <c r="G42" s="220"/>
    </row>
  </sheetData>
  <mergeCells count="7">
    <mergeCell ref="A32:G32"/>
    <mergeCell ref="A1:G1"/>
    <mergeCell ref="A3:G3"/>
    <mergeCell ref="A20:G20"/>
    <mergeCell ref="A30:G30"/>
    <mergeCell ref="A31:G31"/>
    <mergeCell ref="A14:E14"/>
  </mergeCells>
  <pageMargins left="0.75" right="0.75" top="1" bottom="1" header="0.5" footer="0.5"/>
  <pageSetup scale="87" orientation="portrait" horizont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dimension ref="A1:Q58"/>
  <sheetViews>
    <sheetView zoomScaleNormal="100" workbookViewId="0">
      <selection sqref="A1:H1"/>
    </sheetView>
  </sheetViews>
  <sheetFormatPr defaultColWidth="8.6640625" defaultRowHeight="11.25"/>
  <cols>
    <col min="1" max="1" width="2.5" style="224" customWidth="1"/>
    <col min="2" max="2" width="47.5" style="224" customWidth="1"/>
    <col min="3" max="8" width="13.33203125" style="229" customWidth="1"/>
    <col min="9" max="17" width="3.6640625" style="205" customWidth="1"/>
    <col min="18" max="16384" width="8.6640625" style="1151"/>
  </cols>
  <sheetData>
    <row r="1" spans="1:17" ht="15.75" customHeight="1">
      <c r="A1" s="1380" t="s">
        <v>1514</v>
      </c>
      <c r="B1" s="1381"/>
      <c r="C1" s="1381"/>
      <c r="D1" s="1381"/>
      <c r="E1" s="1381"/>
      <c r="F1" s="1381"/>
      <c r="G1" s="1381"/>
      <c r="H1" s="1381"/>
    </row>
    <row r="2" spans="1:17" ht="11.25" customHeight="1">
      <c r="A2" s="344"/>
      <c r="B2" s="292"/>
      <c r="C2" s="345"/>
      <c r="D2" s="345"/>
      <c r="E2" s="345"/>
      <c r="F2" s="345"/>
      <c r="G2" s="345"/>
      <c r="H2" s="346"/>
    </row>
    <row r="3" spans="1:17" ht="12.75" customHeight="1">
      <c r="A3" s="1352" t="s">
        <v>1419</v>
      </c>
      <c r="B3" s="1352"/>
      <c r="C3" s="1352"/>
      <c r="D3" s="1352"/>
      <c r="E3" s="1352"/>
      <c r="F3" s="1352"/>
      <c r="G3" s="1352"/>
      <c r="H3" s="1352"/>
    </row>
    <row r="4" spans="1:17" ht="12.75" customHeight="1">
      <c r="A4" s="762"/>
      <c r="B4" s="762"/>
      <c r="C4" s="762"/>
      <c r="D4" s="762"/>
      <c r="E4" s="762"/>
      <c r="F4" s="762"/>
      <c r="G4" s="762"/>
      <c r="H4" s="762"/>
      <c r="I4" s="763"/>
      <c r="J4" s="763"/>
      <c r="K4" s="763"/>
      <c r="L4" s="763"/>
      <c r="M4" s="763"/>
      <c r="N4" s="763"/>
      <c r="O4" s="763"/>
      <c r="P4" s="763"/>
      <c r="Q4" s="763"/>
    </row>
    <row r="5" spans="1:17" ht="61.5" customHeight="1">
      <c r="A5" s="1369" t="s">
        <v>700</v>
      </c>
      <c r="B5" s="1370"/>
      <c r="C5" s="626" t="s">
        <v>1420</v>
      </c>
      <c r="D5" s="561" t="s">
        <v>1186</v>
      </c>
      <c r="E5" s="561" t="s">
        <v>967</v>
      </c>
      <c r="F5" s="561" t="s">
        <v>1187</v>
      </c>
      <c r="G5" s="626" t="s">
        <v>1670</v>
      </c>
      <c r="H5" s="561" t="s">
        <v>1422</v>
      </c>
    </row>
    <row r="6" spans="1:17" ht="11.25" customHeight="1">
      <c r="A6" s="1233" t="s">
        <v>513</v>
      </c>
      <c r="B6" s="1241"/>
      <c r="C6" s="543"/>
      <c r="D6" s="543"/>
      <c r="E6" s="543"/>
      <c r="F6" s="543"/>
      <c r="G6" s="543"/>
      <c r="H6" s="543"/>
    </row>
    <row r="7" spans="1:17">
      <c r="A7" s="1382" t="s">
        <v>514</v>
      </c>
      <c r="B7" s="1382"/>
      <c r="C7" s="540">
        <v>18</v>
      </c>
      <c r="D7" s="540">
        <v>17</v>
      </c>
      <c r="E7" s="540"/>
      <c r="F7" s="540"/>
      <c r="G7" s="540">
        <v>-1</v>
      </c>
      <c r="H7" s="540">
        <v>34</v>
      </c>
    </row>
    <row r="8" spans="1:17" ht="11.25" customHeight="1">
      <c r="A8" s="1382" t="s">
        <v>341</v>
      </c>
      <c r="B8" s="1382"/>
      <c r="C8" s="540">
        <v>21</v>
      </c>
      <c r="D8" s="540">
        <v>1</v>
      </c>
      <c r="E8" s="540">
        <v>5</v>
      </c>
      <c r="F8" s="540"/>
      <c r="G8" s="540"/>
      <c r="H8" s="540">
        <v>27</v>
      </c>
    </row>
    <row r="9" spans="1:17" ht="11.25" customHeight="1">
      <c r="A9" s="1382" t="s">
        <v>342</v>
      </c>
      <c r="B9" s="1382"/>
      <c r="C9" s="540">
        <v>28</v>
      </c>
      <c r="D9" s="540">
        <v>7</v>
      </c>
      <c r="E9" s="540"/>
      <c r="F9" s="540"/>
      <c r="G9" s="540"/>
      <c r="H9" s="540">
        <v>35</v>
      </c>
    </row>
    <row r="10" spans="1:17">
      <c r="A10" s="1382" t="s">
        <v>1185</v>
      </c>
      <c r="B10" s="1382"/>
      <c r="C10" s="540">
        <v>5</v>
      </c>
      <c r="D10" s="540">
        <v>1</v>
      </c>
      <c r="E10" s="540"/>
      <c r="F10" s="540"/>
      <c r="G10" s="540"/>
      <c r="H10" s="540">
        <v>6</v>
      </c>
    </row>
    <row r="11" spans="1:17">
      <c r="A11" s="1344" t="s">
        <v>339</v>
      </c>
      <c r="B11" s="1344"/>
      <c r="C11" s="540">
        <v>9</v>
      </c>
      <c r="D11" s="540"/>
      <c r="E11" s="540">
        <v>-3</v>
      </c>
      <c r="F11" s="540"/>
      <c r="G11" s="540"/>
      <c r="H11" s="540">
        <v>6</v>
      </c>
    </row>
    <row r="12" spans="1:17">
      <c r="A12" s="1254" t="s">
        <v>814</v>
      </c>
      <c r="B12" s="1254"/>
      <c r="C12" s="540">
        <v>49</v>
      </c>
      <c r="D12" s="540">
        <v>6</v>
      </c>
      <c r="E12" s="540"/>
      <c r="F12" s="540"/>
      <c r="G12" s="540">
        <v>-1</v>
      </c>
      <c r="H12" s="540">
        <v>55</v>
      </c>
    </row>
    <row r="13" spans="1:17">
      <c r="A13" s="1379" t="s">
        <v>1609</v>
      </c>
      <c r="B13" s="1379"/>
      <c r="C13" s="1130"/>
      <c r="D13" s="1130"/>
      <c r="E13" s="1130"/>
      <c r="F13" s="1130"/>
      <c r="G13" s="1130"/>
      <c r="H13" s="1130">
        <v>-8</v>
      </c>
      <c r="I13" s="1128"/>
      <c r="J13" s="1128"/>
      <c r="K13" s="1128"/>
      <c r="L13" s="1128"/>
      <c r="M13" s="1128"/>
      <c r="N13" s="1128"/>
      <c r="O13" s="1128"/>
      <c r="P13" s="1128"/>
      <c r="Q13" s="1128"/>
    </row>
    <row r="14" spans="1:17" ht="11.25" customHeight="1">
      <c r="A14" s="1233" t="s">
        <v>641</v>
      </c>
      <c r="B14" s="1223"/>
      <c r="C14" s="540">
        <v>129</v>
      </c>
      <c r="D14" s="540">
        <v>32</v>
      </c>
      <c r="E14" s="540">
        <v>2</v>
      </c>
      <c r="F14" s="540"/>
      <c r="G14" s="540">
        <v>-2</v>
      </c>
      <c r="H14" s="540">
        <v>155</v>
      </c>
    </row>
    <row r="15" spans="1:17" ht="11.25" customHeight="1">
      <c r="A15" s="458"/>
      <c r="B15" s="458"/>
      <c r="C15" s="543"/>
      <c r="D15" s="543"/>
      <c r="E15" s="543"/>
      <c r="F15" s="543"/>
      <c r="G15" s="543"/>
      <c r="H15" s="543"/>
    </row>
    <row r="16" spans="1:17" ht="11.25" customHeight="1">
      <c r="A16" s="1233" t="s">
        <v>735</v>
      </c>
      <c r="B16" s="1223"/>
      <c r="C16" s="543"/>
      <c r="D16" s="543"/>
      <c r="E16" s="543"/>
      <c r="F16" s="543"/>
      <c r="G16" s="543"/>
      <c r="H16" s="543"/>
    </row>
    <row r="17" spans="1:17" ht="11.25" customHeight="1">
      <c r="A17" s="1382" t="s">
        <v>788</v>
      </c>
      <c r="B17" s="1382"/>
      <c r="C17" s="540">
        <v>66</v>
      </c>
      <c r="D17" s="540">
        <v>-10</v>
      </c>
      <c r="E17" s="540"/>
      <c r="F17" s="540">
        <v>2</v>
      </c>
      <c r="G17" s="540"/>
      <c r="H17" s="540">
        <v>59</v>
      </c>
    </row>
    <row r="18" spans="1:17">
      <c r="A18" s="1382" t="s">
        <v>339</v>
      </c>
      <c r="B18" s="1382"/>
      <c r="C18" s="540"/>
      <c r="D18" s="540"/>
      <c r="E18" s="540">
        <v>1</v>
      </c>
      <c r="F18" s="540"/>
      <c r="G18" s="540"/>
      <c r="H18" s="540">
        <v>1</v>
      </c>
    </row>
    <row r="19" spans="1:17">
      <c r="A19" s="1254" t="s">
        <v>814</v>
      </c>
      <c r="B19" s="1254"/>
      <c r="C19" s="540">
        <v>32</v>
      </c>
      <c r="D19" s="540"/>
      <c r="E19" s="540"/>
      <c r="F19" s="540"/>
      <c r="G19" s="540"/>
      <c r="H19" s="540">
        <v>32</v>
      </c>
    </row>
    <row r="20" spans="1:17">
      <c r="A20" s="1379" t="s">
        <v>1609</v>
      </c>
      <c r="B20" s="1379"/>
      <c r="C20" s="1130"/>
      <c r="D20" s="1130"/>
      <c r="E20" s="1130"/>
      <c r="F20" s="1130"/>
      <c r="G20" s="1130"/>
      <c r="H20" s="1130">
        <v>-8</v>
      </c>
      <c r="I20" s="1128"/>
      <c r="J20" s="1128"/>
      <c r="K20" s="1128"/>
      <c r="L20" s="1128"/>
      <c r="M20" s="1128"/>
      <c r="N20" s="1128"/>
      <c r="O20" s="1128"/>
      <c r="P20" s="1128"/>
      <c r="Q20" s="1128"/>
    </row>
    <row r="21" spans="1:17" ht="11.25" customHeight="1">
      <c r="A21" s="1233" t="s">
        <v>641</v>
      </c>
      <c r="B21" s="1223"/>
      <c r="C21" s="540">
        <v>99</v>
      </c>
      <c r="D21" s="540">
        <v>-10</v>
      </c>
      <c r="E21" s="540">
        <v>1</v>
      </c>
      <c r="F21" s="540">
        <v>1</v>
      </c>
      <c r="G21" s="540"/>
      <c r="H21" s="540">
        <v>83</v>
      </c>
    </row>
    <row r="22" spans="1:17" ht="11.25" customHeight="1">
      <c r="A22" s="1186"/>
      <c r="B22" s="1187"/>
      <c r="C22" s="1188"/>
      <c r="D22" s="1188"/>
      <c r="E22" s="1188"/>
      <c r="F22" s="1188"/>
      <c r="G22" s="1188"/>
      <c r="H22" s="1188"/>
    </row>
    <row r="23" spans="1:17" ht="11.25" customHeight="1">
      <c r="A23" s="1383" t="s">
        <v>482</v>
      </c>
      <c r="B23" s="1384"/>
      <c r="C23" s="1183">
        <v>30</v>
      </c>
      <c r="D23" s="1183">
        <v>41</v>
      </c>
      <c r="E23" s="1183">
        <v>1</v>
      </c>
      <c r="F23" s="1183">
        <v>-1</v>
      </c>
      <c r="G23" s="1183">
        <v>-2</v>
      </c>
      <c r="H23" s="1183">
        <v>72</v>
      </c>
    </row>
    <row r="24" spans="1:17" ht="11.25" customHeight="1">
      <c r="A24" s="488"/>
      <c r="B24" s="330"/>
      <c r="C24" s="283"/>
      <c r="D24" s="283"/>
      <c r="E24" s="283"/>
      <c r="F24" s="283"/>
      <c r="G24" s="283"/>
      <c r="H24" s="280"/>
    </row>
    <row r="25" spans="1:17" ht="33.75" customHeight="1">
      <c r="A25" s="1385" t="s">
        <v>1548</v>
      </c>
      <c r="B25" s="1385"/>
      <c r="C25" s="1385"/>
      <c r="D25" s="1385"/>
      <c r="E25" s="1385"/>
      <c r="F25" s="1385"/>
      <c r="G25" s="1385"/>
      <c r="H25" s="1385"/>
      <c r="I25" s="647"/>
      <c r="J25" s="647"/>
      <c r="K25" s="647"/>
      <c r="L25" s="647"/>
      <c r="M25" s="647"/>
      <c r="N25" s="647"/>
      <c r="O25" s="647"/>
      <c r="P25" s="647"/>
      <c r="Q25" s="647"/>
    </row>
    <row r="26" spans="1:17" ht="11.25" customHeight="1">
      <c r="A26" s="488"/>
      <c r="B26" s="395"/>
      <c r="C26" s="280"/>
      <c r="D26" s="280"/>
      <c r="E26" s="280"/>
      <c r="F26" s="280"/>
      <c r="G26" s="280"/>
      <c r="H26" s="280"/>
      <c r="I26" s="647"/>
      <c r="J26" s="647"/>
      <c r="K26" s="647"/>
      <c r="L26" s="647"/>
      <c r="M26" s="647"/>
      <c r="N26" s="647"/>
      <c r="O26" s="647"/>
      <c r="P26" s="647"/>
      <c r="Q26" s="647"/>
    </row>
    <row r="27" spans="1:17" ht="12.75" customHeight="1">
      <c r="A27" s="1352" t="s">
        <v>1289</v>
      </c>
      <c r="B27" s="1352"/>
      <c r="C27" s="1352"/>
      <c r="D27" s="1352"/>
      <c r="E27" s="1352"/>
      <c r="F27" s="1352"/>
      <c r="G27" s="1352"/>
      <c r="H27" s="1352"/>
    </row>
    <row r="28" spans="1:17" ht="11.25" customHeight="1">
      <c r="A28" s="488"/>
      <c r="B28" s="330"/>
      <c r="C28" s="300"/>
      <c r="D28" s="300"/>
      <c r="E28" s="300"/>
      <c r="F28" s="300"/>
      <c r="G28" s="300"/>
      <c r="H28" s="437"/>
    </row>
    <row r="29" spans="1:17" ht="61.5" customHeight="1">
      <c r="A29" s="1369" t="s">
        <v>700</v>
      </c>
      <c r="B29" s="1370"/>
      <c r="C29" s="627" t="s">
        <v>1306</v>
      </c>
      <c r="D29" s="267" t="s">
        <v>1186</v>
      </c>
      <c r="E29" s="267" t="s">
        <v>967</v>
      </c>
      <c r="F29" s="267" t="s">
        <v>1187</v>
      </c>
      <c r="G29" s="267" t="s">
        <v>1188</v>
      </c>
      <c r="H29" s="267" t="s">
        <v>1307</v>
      </c>
    </row>
    <row r="30" spans="1:17" ht="11.25" customHeight="1">
      <c r="A30" s="1233" t="s">
        <v>513</v>
      </c>
      <c r="B30" s="1223"/>
      <c r="C30" s="968"/>
      <c r="D30" s="968"/>
      <c r="E30" s="968"/>
      <c r="F30" s="968"/>
      <c r="G30" s="968"/>
      <c r="H30" s="968"/>
    </row>
    <row r="31" spans="1:17" ht="11.25" customHeight="1">
      <c r="A31" s="1382" t="s">
        <v>514</v>
      </c>
      <c r="B31" s="1382"/>
      <c r="C31" s="968">
        <v>18</v>
      </c>
      <c r="D31" s="968"/>
      <c r="E31" s="968"/>
      <c r="F31" s="968"/>
      <c r="G31" s="968">
        <v>2</v>
      </c>
      <c r="H31" s="968">
        <v>18</v>
      </c>
    </row>
    <row r="32" spans="1:17" ht="11.25" customHeight="1">
      <c r="A32" s="1382" t="s">
        <v>341</v>
      </c>
      <c r="B32" s="1382"/>
      <c r="C32" s="968">
        <v>23</v>
      </c>
      <c r="D32" s="968">
        <v>-2</v>
      </c>
      <c r="E32" s="968"/>
      <c r="F32" s="968"/>
      <c r="G32" s="968"/>
      <c r="H32" s="968">
        <v>21</v>
      </c>
    </row>
    <row r="33" spans="1:8" ht="11.25" customHeight="1">
      <c r="A33" s="1382" t="s">
        <v>342</v>
      </c>
      <c r="B33" s="1382"/>
      <c r="C33" s="968">
        <v>30</v>
      </c>
      <c r="D33" s="968">
        <v>-2</v>
      </c>
      <c r="E33" s="968"/>
      <c r="F33" s="968"/>
      <c r="G33" s="968"/>
      <c r="H33" s="968">
        <v>28</v>
      </c>
    </row>
    <row r="34" spans="1:8">
      <c r="A34" s="1382" t="s">
        <v>1185</v>
      </c>
      <c r="B34" s="1382"/>
      <c r="C34" s="968">
        <v>5</v>
      </c>
      <c r="D34" s="968"/>
      <c r="E34" s="968"/>
      <c r="F34" s="968"/>
      <c r="G34" s="968"/>
      <c r="H34" s="968">
        <v>5</v>
      </c>
    </row>
    <row r="35" spans="1:8">
      <c r="A35" s="1382" t="s">
        <v>339</v>
      </c>
      <c r="B35" s="1382"/>
      <c r="C35" s="968">
        <v>6</v>
      </c>
      <c r="D35" s="968"/>
      <c r="E35" s="968">
        <v>3</v>
      </c>
      <c r="F35" s="968"/>
      <c r="G35" s="968"/>
      <c r="H35" s="968">
        <v>9</v>
      </c>
    </row>
    <row r="36" spans="1:8">
      <c r="A36" s="1386" t="s">
        <v>814</v>
      </c>
      <c r="B36" s="1386"/>
      <c r="C36" s="482">
        <v>49</v>
      </c>
      <c r="D36" s="482">
        <v>6</v>
      </c>
      <c r="E36" s="482"/>
      <c r="F36" s="482">
        <v>1</v>
      </c>
      <c r="G36" s="482">
        <v>-7</v>
      </c>
      <c r="H36" s="482">
        <v>49</v>
      </c>
    </row>
    <row r="37" spans="1:8">
      <c r="A37" s="1233" t="s">
        <v>641</v>
      </c>
      <c r="B37" s="1223"/>
      <c r="C37" s="968">
        <v>131</v>
      </c>
      <c r="D37" s="968">
        <v>1</v>
      </c>
      <c r="E37" s="968">
        <v>3</v>
      </c>
      <c r="F37" s="968">
        <v>1</v>
      </c>
      <c r="G37" s="968">
        <v>-6</v>
      </c>
      <c r="H37" s="968">
        <v>129</v>
      </c>
    </row>
    <row r="38" spans="1:8" ht="11.25" customHeight="1">
      <c r="A38" s="458"/>
      <c r="B38" s="458"/>
      <c r="C38" s="968"/>
      <c r="D38" s="968"/>
      <c r="E38" s="968"/>
      <c r="F38" s="968"/>
      <c r="G38" s="968"/>
      <c r="H38" s="968"/>
    </row>
    <row r="39" spans="1:8" ht="11.25" customHeight="1">
      <c r="A39" s="1233" t="s">
        <v>735</v>
      </c>
      <c r="B39" s="1223"/>
      <c r="C39" s="968"/>
      <c r="D39" s="968"/>
      <c r="E39" s="968"/>
      <c r="F39" s="968"/>
      <c r="G39" s="968"/>
      <c r="H39" s="968"/>
    </row>
    <row r="40" spans="1:8" ht="11.25" customHeight="1">
      <c r="A40" s="1382" t="s">
        <v>788</v>
      </c>
      <c r="B40" s="1382"/>
      <c r="C40" s="968">
        <v>57</v>
      </c>
      <c r="D40" s="968">
        <v>-6</v>
      </c>
      <c r="E40" s="968"/>
      <c r="F40" s="968"/>
      <c r="G40" s="968">
        <v>14</v>
      </c>
      <c r="H40" s="968">
        <v>66</v>
      </c>
    </row>
    <row r="41" spans="1:8">
      <c r="A41" s="1382" t="s">
        <v>339</v>
      </c>
      <c r="B41" s="1382"/>
      <c r="C41" s="968">
        <v>2</v>
      </c>
      <c r="D41" s="968"/>
      <c r="E41" s="968">
        <v>-2</v>
      </c>
      <c r="F41" s="968"/>
      <c r="G41" s="968"/>
      <c r="H41" s="968"/>
    </row>
    <row r="42" spans="1:8">
      <c r="A42" s="1386" t="s">
        <v>814</v>
      </c>
      <c r="B42" s="1386"/>
      <c r="C42" s="482">
        <v>42</v>
      </c>
      <c r="D42" s="482">
        <v>-2</v>
      </c>
      <c r="E42" s="482"/>
      <c r="F42" s="482"/>
      <c r="G42" s="482">
        <v>-7</v>
      </c>
      <c r="H42" s="482">
        <v>32</v>
      </c>
    </row>
    <row r="43" spans="1:8" ht="11.25" customHeight="1">
      <c r="A43" s="1233" t="s">
        <v>641</v>
      </c>
      <c r="B43" s="1223"/>
      <c r="C43" s="968">
        <v>102</v>
      </c>
      <c r="D43" s="968">
        <v>-8</v>
      </c>
      <c r="E43" s="968">
        <v>-2</v>
      </c>
      <c r="F43" s="968"/>
      <c r="G43" s="968">
        <v>7</v>
      </c>
      <c r="H43" s="968">
        <v>99</v>
      </c>
    </row>
    <row r="44" spans="1:8" ht="11.25" customHeight="1">
      <c r="A44" s="1187"/>
      <c r="B44" s="1187"/>
      <c r="C44" s="1189"/>
      <c r="D44" s="1189"/>
      <c r="E44" s="1189"/>
      <c r="F44" s="1189"/>
      <c r="G44" s="1189"/>
      <c r="H44" s="1189"/>
    </row>
    <row r="45" spans="1:8" ht="11.25" customHeight="1">
      <c r="A45" s="1383" t="s">
        <v>482</v>
      </c>
      <c r="B45" s="1384"/>
      <c r="C45" s="1190">
        <v>29</v>
      </c>
      <c r="D45" s="1190">
        <v>9</v>
      </c>
      <c r="E45" s="1190">
        <v>5</v>
      </c>
      <c r="F45" s="1190">
        <v>1</v>
      </c>
      <c r="G45" s="1190">
        <v>-13</v>
      </c>
      <c r="H45" s="1190">
        <v>30</v>
      </c>
    </row>
    <row r="46" spans="1:8" ht="11.25" customHeight="1">
      <c r="A46" s="488"/>
      <c r="B46" s="330"/>
      <c r="C46" s="280"/>
      <c r="D46" s="280"/>
      <c r="E46" s="280"/>
      <c r="F46" s="280"/>
      <c r="G46" s="280"/>
      <c r="H46" s="280"/>
    </row>
    <row r="47" spans="1:8" ht="11.25" customHeight="1">
      <c r="A47" s="287"/>
      <c r="B47" s="287"/>
      <c r="C47" s="347"/>
      <c r="D47" s="348"/>
      <c r="E47" s="347"/>
      <c r="F47" s="341"/>
      <c r="G47" s="341"/>
      <c r="H47" s="348"/>
    </row>
    <row r="48" spans="1:8" ht="11.25" customHeight="1">
      <c r="A48" s="287"/>
      <c r="B48" s="287"/>
      <c r="C48" s="347"/>
      <c r="D48" s="348"/>
      <c r="E48" s="283"/>
      <c r="F48" s="341"/>
      <c r="G48" s="341"/>
      <c r="H48" s="348"/>
    </row>
    <row r="49" spans="1:8" ht="11.25" customHeight="1">
      <c r="A49" s="287"/>
      <c r="B49" s="287"/>
      <c r="C49" s="347"/>
      <c r="D49" s="348"/>
      <c r="E49" s="347"/>
      <c r="F49" s="347"/>
      <c r="G49" s="347"/>
      <c r="H49" s="348"/>
    </row>
    <row r="50" spans="1:8" ht="15" customHeight="1">
      <c r="A50" s="287"/>
      <c r="B50" s="287"/>
      <c r="C50" s="347"/>
      <c r="D50" s="348"/>
      <c r="E50" s="347"/>
      <c r="F50" s="347"/>
      <c r="G50" s="347"/>
      <c r="H50" s="348"/>
    </row>
    <row r="51" spans="1:8" ht="15" customHeight="1">
      <c r="A51" s="349"/>
      <c r="B51" s="287"/>
      <c r="C51" s="341"/>
      <c r="D51" s="341"/>
      <c r="E51" s="347"/>
      <c r="F51" s="341"/>
      <c r="G51" s="341"/>
      <c r="H51" s="348"/>
    </row>
    <row r="52" spans="1:8" ht="15" customHeight="1">
      <c r="A52" s="349"/>
      <c r="B52" s="287"/>
      <c r="C52" s="350"/>
      <c r="D52" s="351"/>
      <c r="E52" s="351"/>
      <c r="F52" s="351"/>
      <c r="G52" s="351"/>
      <c r="H52" s="351"/>
    </row>
    <row r="53" spans="1:8" ht="15" customHeight="1">
      <c r="A53" s="352"/>
      <c r="B53" s="353"/>
      <c r="C53" s="354"/>
      <c r="D53" s="354"/>
      <c r="E53" s="355"/>
      <c r="F53" s="354"/>
      <c r="G53" s="354"/>
      <c r="H53" s="356"/>
    </row>
    <row r="54" spans="1:8">
      <c r="A54" s="226"/>
      <c r="B54" s="226"/>
      <c r="C54" s="335"/>
      <c r="D54" s="335"/>
      <c r="E54" s="335"/>
      <c r="F54" s="335"/>
      <c r="G54" s="335"/>
      <c r="H54" s="335"/>
    </row>
    <row r="55" spans="1:8">
      <c r="A55" s="226"/>
      <c r="B55" s="226"/>
      <c r="C55" s="335"/>
      <c r="D55" s="335"/>
      <c r="E55" s="335"/>
      <c r="F55" s="335"/>
      <c r="G55" s="335"/>
      <c r="H55" s="335"/>
    </row>
    <row r="56" spans="1:8">
      <c r="A56" s="226"/>
      <c r="B56" s="226"/>
      <c r="C56" s="335"/>
      <c r="D56" s="335"/>
      <c r="E56" s="335"/>
      <c r="F56" s="335"/>
      <c r="G56" s="335"/>
      <c r="H56" s="335"/>
    </row>
    <row r="57" spans="1:8">
      <c r="A57" s="226"/>
      <c r="B57" s="226"/>
      <c r="C57" s="335"/>
      <c r="D57" s="335"/>
      <c r="E57" s="335"/>
      <c r="F57" s="335"/>
      <c r="G57" s="335"/>
      <c r="H57" s="335"/>
    </row>
    <row r="58" spans="1:8">
      <c r="A58" s="226"/>
      <c r="B58" s="226"/>
      <c r="C58" s="335"/>
      <c r="D58" s="335"/>
      <c r="E58" s="335"/>
      <c r="F58" s="335"/>
      <c r="G58" s="335"/>
      <c r="H58" s="335"/>
    </row>
  </sheetData>
  <mergeCells count="36">
    <mergeCell ref="A41:B41"/>
    <mergeCell ref="A42:B42"/>
    <mergeCell ref="A43:B43"/>
    <mergeCell ref="A29:B29"/>
    <mergeCell ref="A45:B45"/>
    <mergeCell ref="A40:B40"/>
    <mergeCell ref="A18:B18"/>
    <mergeCell ref="A19:B19"/>
    <mergeCell ref="A23:B23"/>
    <mergeCell ref="A30:B30"/>
    <mergeCell ref="A39:B39"/>
    <mergeCell ref="A27:H27"/>
    <mergeCell ref="A37:B37"/>
    <mergeCell ref="A25:H25"/>
    <mergeCell ref="A31:B31"/>
    <mergeCell ref="A32:B32"/>
    <mergeCell ref="A33:B33"/>
    <mergeCell ref="A34:B34"/>
    <mergeCell ref="A35:B35"/>
    <mergeCell ref="A36:B36"/>
    <mergeCell ref="A13:B13"/>
    <mergeCell ref="A20:B20"/>
    <mergeCell ref="A1:H1"/>
    <mergeCell ref="A16:B16"/>
    <mergeCell ref="A21:B21"/>
    <mergeCell ref="A14:B14"/>
    <mergeCell ref="A6:B6"/>
    <mergeCell ref="A5:B5"/>
    <mergeCell ref="A3:H3"/>
    <mergeCell ref="A12:B12"/>
    <mergeCell ref="A11:B11"/>
    <mergeCell ref="A10:B10"/>
    <mergeCell ref="A9:B9"/>
    <mergeCell ref="A8:B8"/>
    <mergeCell ref="A7:B7"/>
    <mergeCell ref="A17:B17"/>
  </mergeCells>
  <phoneticPr fontId="0" type="noConversion"/>
  <pageMargins left="0.75" right="0.75" top="1" bottom="1" header="0.5" footer="0.5"/>
  <pageSetup paperSize="9" scale="77"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Q159"/>
  <sheetViews>
    <sheetView zoomScaleNormal="100" zoomScalePageLayoutView="110" workbookViewId="0">
      <selection sqref="A1:E1"/>
    </sheetView>
  </sheetViews>
  <sheetFormatPr defaultColWidth="8.6640625" defaultRowHeight="11.25"/>
  <cols>
    <col min="1" max="1" width="2.5" style="239" customWidth="1"/>
    <col min="2" max="2" width="72.5" style="224" customWidth="1"/>
    <col min="3" max="5" width="18.33203125" style="229" customWidth="1"/>
    <col min="6" max="17" width="3.6640625" style="205" customWidth="1"/>
    <col min="18" max="16384" width="8.6640625" style="1151"/>
  </cols>
  <sheetData>
    <row r="1" spans="1:17" ht="15.75" customHeight="1">
      <c r="A1" s="1244" t="s">
        <v>1515</v>
      </c>
      <c r="B1" s="1244"/>
      <c r="C1" s="1244"/>
      <c r="D1" s="1244"/>
      <c r="E1" s="1244"/>
    </row>
    <row r="2" spans="1:17" ht="11.25" customHeight="1">
      <c r="A2" s="1358"/>
      <c r="B2" s="1358"/>
      <c r="C2" s="1358"/>
      <c r="D2" s="1358"/>
      <c r="E2" s="1358"/>
    </row>
    <row r="3" spans="1:17" ht="11.25" customHeight="1">
      <c r="A3" s="1388" t="s">
        <v>700</v>
      </c>
      <c r="B3" s="1388"/>
      <c r="C3" s="360"/>
      <c r="D3" s="550">
        <v>2019</v>
      </c>
      <c r="E3" s="291">
        <v>2018</v>
      </c>
    </row>
    <row r="4" spans="1:17" ht="11.25" customHeight="1">
      <c r="A4" s="1223" t="s">
        <v>1136</v>
      </c>
      <c r="B4" s="1223"/>
      <c r="C4" s="1223"/>
      <c r="D4" s="540">
        <v>155</v>
      </c>
      <c r="E4" s="442">
        <v>149</v>
      </c>
    </row>
    <row r="5" spans="1:17" ht="11.25" customHeight="1">
      <c r="A5" s="1223" t="s">
        <v>1687</v>
      </c>
      <c r="B5" s="1223"/>
      <c r="C5" s="445"/>
      <c r="D5" s="540">
        <v>15</v>
      </c>
      <c r="E5" s="442">
        <v>13</v>
      </c>
    </row>
    <row r="6" spans="1:17" ht="11.25" customHeight="1">
      <c r="A6" s="1389"/>
      <c r="B6" s="1389"/>
      <c r="C6" s="1389"/>
      <c r="D6" s="1389"/>
      <c r="E6" s="1389"/>
    </row>
    <row r="7" spans="1:17" ht="79.5" customHeight="1">
      <c r="A7" s="1271" t="s">
        <v>1549</v>
      </c>
      <c r="B7" s="1271"/>
      <c r="C7" s="1271"/>
      <c r="D7" s="1271"/>
      <c r="E7" s="1271"/>
      <c r="L7" s="235"/>
    </row>
    <row r="8" spans="1:17" ht="11.25" customHeight="1">
      <c r="A8" s="1390"/>
      <c r="B8" s="1390"/>
      <c r="C8" s="1390"/>
      <c r="D8" s="1390"/>
      <c r="E8" s="1390"/>
    </row>
    <row r="9" spans="1:17" ht="11.25" customHeight="1">
      <c r="A9" s="1387" t="s">
        <v>1070</v>
      </c>
      <c r="B9" s="1387"/>
      <c r="C9" s="1387"/>
      <c r="D9" s="1387"/>
      <c r="E9" s="1387"/>
    </row>
    <row r="10" spans="1:17" ht="11.25" customHeight="1">
      <c r="A10" s="734"/>
      <c r="B10" s="734"/>
      <c r="C10" s="734"/>
      <c r="D10" s="734"/>
      <c r="E10" s="734"/>
      <c r="F10" s="733"/>
      <c r="G10" s="733"/>
      <c r="H10" s="733"/>
      <c r="I10" s="733"/>
      <c r="J10" s="733"/>
      <c r="K10" s="733"/>
      <c r="L10" s="733"/>
      <c r="M10" s="733"/>
      <c r="N10" s="733"/>
      <c r="O10" s="733"/>
      <c r="P10" s="733"/>
      <c r="Q10" s="733"/>
    </row>
    <row r="11" spans="1:17" ht="127.5" customHeight="1">
      <c r="A11" s="1271" t="s">
        <v>1550</v>
      </c>
      <c r="B11" s="1271"/>
      <c r="C11" s="1271"/>
      <c r="D11" s="1271"/>
      <c r="E11" s="1271"/>
    </row>
    <row r="12" spans="1:17" ht="11.25" customHeight="1">
      <c r="A12" s="645"/>
      <c r="B12" s="645"/>
      <c r="C12" s="645"/>
      <c r="D12" s="645"/>
      <c r="E12" s="645"/>
      <c r="F12" s="647"/>
      <c r="G12" s="647"/>
      <c r="H12" s="647"/>
      <c r="I12" s="647"/>
      <c r="J12" s="647"/>
      <c r="K12" s="647"/>
      <c r="L12" s="647"/>
      <c r="M12" s="647"/>
      <c r="N12" s="647"/>
      <c r="O12" s="647"/>
      <c r="P12" s="647"/>
      <c r="Q12" s="647"/>
    </row>
    <row r="13" spans="1:17" ht="11.25" customHeight="1">
      <c r="A13" s="1387" t="s">
        <v>1137</v>
      </c>
      <c r="B13" s="1387"/>
      <c r="C13" s="1387"/>
      <c r="D13" s="1387"/>
      <c r="E13" s="1387"/>
      <c r="F13" s="647"/>
      <c r="G13" s="647"/>
      <c r="H13" s="647"/>
      <c r="I13" s="647"/>
      <c r="J13" s="647"/>
      <c r="K13" s="647"/>
      <c r="L13" s="647"/>
      <c r="M13" s="647"/>
      <c r="N13" s="647"/>
      <c r="O13" s="647"/>
      <c r="P13" s="647"/>
      <c r="Q13" s="647"/>
    </row>
    <row r="14" spans="1:17" ht="11.25" customHeight="1">
      <c r="A14" s="735"/>
      <c r="B14" s="735"/>
      <c r="C14" s="735"/>
      <c r="D14" s="735"/>
      <c r="E14" s="735"/>
      <c r="F14" s="733"/>
      <c r="G14" s="733"/>
      <c r="H14" s="733"/>
      <c r="I14" s="733"/>
      <c r="J14" s="733"/>
      <c r="K14" s="733"/>
      <c r="L14" s="733"/>
      <c r="M14" s="733"/>
      <c r="N14" s="733"/>
      <c r="O14" s="733"/>
      <c r="P14" s="733"/>
      <c r="Q14" s="733"/>
    </row>
    <row r="15" spans="1:17" ht="114" customHeight="1">
      <c r="A15" s="1271" t="s">
        <v>1156</v>
      </c>
      <c r="B15" s="1271"/>
      <c r="C15" s="1271"/>
      <c r="D15" s="1271"/>
      <c r="E15" s="1271"/>
      <c r="F15" s="647"/>
      <c r="G15" s="647"/>
      <c r="H15" s="647"/>
      <c r="I15" s="647"/>
      <c r="J15" s="647"/>
      <c r="K15" s="647"/>
      <c r="L15" s="647"/>
      <c r="M15" s="647"/>
      <c r="N15" s="647"/>
      <c r="O15" s="647"/>
      <c r="P15" s="647"/>
      <c r="Q15" s="647"/>
    </row>
    <row r="16" spans="1:17" ht="11.25" customHeight="1">
      <c r="A16" s="645"/>
      <c r="B16" s="645"/>
      <c r="C16" s="645"/>
      <c r="D16" s="645"/>
      <c r="E16" s="645"/>
      <c r="F16" s="647"/>
      <c r="G16" s="647"/>
      <c r="H16" s="647"/>
      <c r="I16" s="647"/>
      <c r="J16" s="647"/>
      <c r="K16" s="647"/>
      <c r="L16" s="647"/>
      <c r="M16" s="647"/>
      <c r="N16" s="647"/>
      <c r="O16" s="647"/>
      <c r="P16" s="647"/>
      <c r="Q16" s="647"/>
    </row>
    <row r="17" spans="1:17" ht="11.25" customHeight="1">
      <c r="A17" s="1388" t="s">
        <v>700</v>
      </c>
      <c r="B17" s="1388"/>
      <c r="C17" s="360"/>
      <c r="D17" s="550">
        <v>2019</v>
      </c>
      <c r="E17" s="291">
        <v>2018</v>
      </c>
    </row>
    <row r="18" spans="1:17" ht="11.25" customHeight="1">
      <c r="A18" s="1223" t="s">
        <v>1001</v>
      </c>
      <c r="B18" s="1223"/>
      <c r="C18" s="445"/>
      <c r="D18" s="571">
        <v>119</v>
      </c>
      <c r="E18" s="489">
        <v>108</v>
      </c>
    </row>
    <row r="19" spans="1:17" ht="11.25" customHeight="1">
      <c r="A19" s="1223" t="s">
        <v>1002</v>
      </c>
      <c r="B19" s="1223"/>
      <c r="C19" s="445"/>
      <c r="D19" s="540">
        <v>182</v>
      </c>
      <c r="E19" s="442">
        <v>177</v>
      </c>
    </row>
    <row r="20" spans="1:17" ht="11.25" customHeight="1">
      <c r="A20" s="1224" t="s">
        <v>102</v>
      </c>
      <c r="B20" s="1224"/>
      <c r="C20" s="497"/>
      <c r="D20" s="536">
        <v>-146</v>
      </c>
      <c r="E20" s="433">
        <v>-135</v>
      </c>
    </row>
    <row r="21" spans="1:17" ht="11.25" customHeight="1">
      <c r="A21" s="1266" t="s">
        <v>1079</v>
      </c>
      <c r="B21" s="1266"/>
      <c r="C21" s="496"/>
      <c r="D21" s="537">
        <v>155</v>
      </c>
      <c r="E21" s="452">
        <v>149</v>
      </c>
    </row>
    <row r="22" spans="1:17" ht="11.25" customHeight="1">
      <c r="A22" s="235"/>
      <c r="B22" s="235"/>
      <c r="C22" s="235"/>
      <c r="D22" s="235"/>
      <c r="E22" s="235"/>
      <c r="F22" s="713"/>
      <c r="G22" s="713"/>
      <c r="H22" s="713"/>
      <c r="I22" s="713"/>
      <c r="J22" s="713"/>
      <c r="K22" s="713"/>
      <c r="L22" s="713"/>
      <c r="M22" s="713"/>
      <c r="N22" s="713"/>
      <c r="O22" s="713"/>
      <c r="P22" s="713"/>
      <c r="Q22" s="713"/>
    </row>
    <row r="23" spans="1:17" ht="11.25" customHeight="1">
      <c r="A23" s="1392"/>
      <c r="B23" s="1392"/>
      <c r="C23" s="1392"/>
      <c r="D23" s="1392"/>
      <c r="E23" s="1392"/>
    </row>
    <row r="24" spans="1:17" ht="61.5" customHeight="1">
      <c r="A24" s="1388" t="s">
        <v>843</v>
      </c>
      <c r="B24" s="1388"/>
      <c r="C24" s="977"/>
      <c r="D24" s="563" t="s">
        <v>1223</v>
      </c>
      <c r="E24" s="563" t="s">
        <v>1224</v>
      </c>
    </row>
    <row r="25" spans="1:17" ht="11.25" customHeight="1">
      <c r="A25" s="1223" t="s">
        <v>812</v>
      </c>
      <c r="B25" s="1223"/>
      <c r="C25" s="445"/>
      <c r="D25" s="540">
        <v>31</v>
      </c>
      <c r="E25" s="540">
        <v>55</v>
      </c>
    </row>
    <row r="26" spans="1:17" ht="11.25" customHeight="1">
      <c r="A26" s="1223" t="s">
        <v>215</v>
      </c>
      <c r="B26" s="1223"/>
      <c r="C26" s="445"/>
      <c r="D26" s="540">
        <v>23</v>
      </c>
      <c r="E26" s="540">
        <v>5</v>
      </c>
      <c r="F26" s="647"/>
      <c r="G26" s="647"/>
      <c r="H26" s="647"/>
      <c r="I26" s="647"/>
      <c r="J26" s="647"/>
      <c r="K26" s="647"/>
      <c r="L26" s="647"/>
      <c r="M26" s="647"/>
      <c r="N26" s="647"/>
      <c r="O26" s="647"/>
      <c r="P26" s="647"/>
      <c r="Q26" s="647"/>
    </row>
    <row r="27" spans="1:17" ht="11.25" customHeight="1">
      <c r="A27" s="1223" t="s">
        <v>873</v>
      </c>
      <c r="B27" s="1223"/>
      <c r="C27" s="445"/>
      <c r="D27" s="540">
        <v>37</v>
      </c>
      <c r="E27" s="540">
        <v>28</v>
      </c>
    </row>
    <row r="28" spans="1:17" ht="11.25" customHeight="1">
      <c r="A28" s="1255" t="s">
        <v>581</v>
      </c>
      <c r="B28" s="1255"/>
      <c r="C28" s="432"/>
      <c r="D28" s="536">
        <v>9</v>
      </c>
      <c r="E28" s="536">
        <v>12</v>
      </c>
    </row>
    <row r="29" spans="1:17" ht="11.25" customHeight="1">
      <c r="A29" s="1266" t="s">
        <v>641</v>
      </c>
      <c r="B29" s="1266"/>
      <c r="C29" s="496"/>
      <c r="D29" s="537">
        <v>100</v>
      </c>
      <c r="E29" s="537">
        <v>100</v>
      </c>
    </row>
    <row r="30" spans="1:17" ht="11.25" customHeight="1">
      <c r="A30" s="713"/>
      <c r="B30" s="713"/>
      <c r="C30" s="713"/>
      <c r="D30" s="713"/>
      <c r="E30" s="713"/>
      <c r="F30" s="713"/>
      <c r="G30" s="713"/>
      <c r="H30" s="713"/>
      <c r="I30" s="713"/>
      <c r="J30" s="713"/>
      <c r="K30" s="713"/>
      <c r="L30" s="713"/>
      <c r="M30" s="713"/>
      <c r="N30" s="713"/>
      <c r="O30" s="713"/>
      <c r="P30" s="713"/>
      <c r="Q30" s="713"/>
    </row>
    <row r="31" spans="1:17" ht="11.25" customHeight="1">
      <c r="A31" s="1358"/>
      <c r="B31" s="1358"/>
      <c r="C31" s="1358"/>
      <c r="D31" s="1358"/>
      <c r="E31" s="1358"/>
    </row>
    <row r="32" spans="1:17" ht="55.5" customHeight="1">
      <c r="A32" s="1269" t="s">
        <v>700</v>
      </c>
      <c r="B32" s="1269"/>
      <c r="C32" s="487" t="s">
        <v>1225</v>
      </c>
      <c r="D32" s="487" t="s">
        <v>1224</v>
      </c>
      <c r="E32" s="487" t="s">
        <v>1226</v>
      </c>
      <c r="F32" s="359"/>
      <c r="G32" s="359"/>
      <c r="H32" s="359"/>
      <c r="I32" s="359"/>
      <c r="J32" s="359"/>
      <c r="K32" s="359"/>
      <c r="L32" s="359"/>
      <c r="M32" s="359"/>
      <c r="N32" s="359"/>
      <c r="O32" s="359"/>
      <c r="P32" s="359"/>
      <c r="Q32" s="359"/>
    </row>
    <row r="33" spans="1:17" ht="11.25" customHeight="1">
      <c r="A33" s="1233" t="s">
        <v>1310</v>
      </c>
      <c r="B33" s="1233"/>
      <c r="C33" s="473">
        <v>307</v>
      </c>
      <c r="D33" s="442">
        <v>-154</v>
      </c>
      <c r="E33" s="442">
        <v>154</v>
      </c>
    </row>
    <row r="34" spans="1:17" ht="11.25" customHeight="1">
      <c r="A34" s="1223" t="s">
        <v>791</v>
      </c>
      <c r="B34" s="1223"/>
      <c r="C34" s="473">
        <v>2</v>
      </c>
      <c r="D34" s="442">
        <v>-2</v>
      </c>
      <c r="E34" s="442">
        <v>-1</v>
      </c>
    </row>
    <row r="35" spans="1:17" ht="11.25" customHeight="1">
      <c r="A35" s="1398" t="s">
        <v>1031</v>
      </c>
      <c r="B35" s="1398"/>
      <c r="C35" s="473"/>
      <c r="D35" s="442"/>
      <c r="E35" s="442"/>
    </row>
    <row r="36" spans="1:17" ht="11.25" customHeight="1">
      <c r="A36" s="1382" t="s">
        <v>1003</v>
      </c>
      <c r="B36" s="1382"/>
      <c r="C36" s="473">
        <v>10</v>
      </c>
      <c r="D36" s="442"/>
      <c r="E36" s="442">
        <v>10</v>
      </c>
    </row>
    <row r="37" spans="1:17" ht="11.25" customHeight="1">
      <c r="A37" s="1382" t="s">
        <v>1705</v>
      </c>
      <c r="B37" s="1382"/>
      <c r="C37" s="473">
        <v>-1</v>
      </c>
      <c r="D37" s="442"/>
      <c r="E37" s="442">
        <v>-1</v>
      </c>
      <c r="F37" s="841"/>
      <c r="G37" s="841"/>
      <c r="H37" s="841"/>
      <c r="I37" s="841"/>
      <c r="J37" s="841"/>
      <c r="K37" s="841"/>
      <c r="L37" s="841"/>
      <c r="M37" s="841"/>
      <c r="N37" s="841"/>
      <c r="O37" s="841"/>
      <c r="P37" s="841"/>
      <c r="Q37" s="841"/>
    </row>
    <row r="38" spans="1:17" ht="11.25" customHeight="1">
      <c r="A38" s="1382" t="s">
        <v>1034</v>
      </c>
      <c r="B38" s="1382"/>
      <c r="C38" s="473">
        <v>-21</v>
      </c>
      <c r="D38" s="442">
        <v>20</v>
      </c>
      <c r="E38" s="442">
        <v>-2</v>
      </c>
    </row>
    <row r="39" spans="1:17" ht="11.25" customHeight="1">
      <c r="A39" s="1391" t="s">
        <v>1032</v>
      </c>
      <c r="B39" s="1391"/>
      <c r="C39" s="489">
        <v>5</v>
      </c>
      <c r="D39" s="489">
        <v>-3</v>
      </c>
      <c r="E39" s="489">
        <v>3</v>
      </c>
    </row>
    <row r="40" spans="1:17" ht="11.25" customHeight="1">
      <c r="A40" s="1233" t="s">
        <v>1033</v>
      </c>
      <c r="B40" s="1233"/>
      <c r="C40" s="473"/>
      <c r="D40" s="442"/>
      <c r="E40" s="442"/>
    </row>
    <row r="41" spans="1:17" ht="11.25" customHeight="1">
      <c r="A41" s="1382" t="s">
        <v>1004</v>
      </c>
      <c r="B41" s="1382"/>
      <c r="C41" s="473"/>
      <c r="D41" s="442">
        <v>11</v>
      </c>
      <c r="E41" s="442">
        <v>11</v>
      </c>
    </row>
    <row r="42" spans="1:17" ht="11.25" customHeight="1">
      <c r="A42" s="1382" t="s">
        <v>1005</v>
      </c>
      <c r="B42" s="1382"/>
      <c r="C42" s="473">
        <v>-6</v>
      </c>
      <c r="D42" s="442"/>
      <c r="E42" s="442">
        <v>-6</v>
      </c>
      <c r="F42" s="675"/>
      <c r="G42" s="675"/>
      <c r="H42" s="675"/>
      <c r="I42" s="675"/>
      <c r="J42" s="675"/>
      <c r="K42" s="675"/>
      <c r="L42" s="675"/>
      <c r="M42" s="675"/>
      <c r="N42" s="675"/>
      <c r="O42" s="675"/>
      <c r="P42" s="675"/>
      <c r="Q42" s="675"/>
    </row>
    <row r="43" spans="1:17" ht="11.25" customHeight="1">
      <c r="A43" s="1382" t="s">
        <v>1006</v>
      </c>
      <c r="B43" s="1382"/>
      <c r="C43" s="473">
        <v>-2</v>
      </c>
      <c r="D43" s="442"/>
      <c r="E43" s="442">
        <v>-2</v>
      </c>
    </row>
    <row r="44" spans="1:17" ht="11.25" customHeight="1">
      <c r="A44" s="1223" t="s">
        <v>1007</v>
      </c>
      <c r="B44" s="1223"/>
      <c r="C44" s="473">
        <v>1</v>
      </c>
      <c r="D44" s="442">
        <v>-1</v>
      </c>
      <c r="E44" s="442"/>
    </row>
    <row r="45" spans="1:17" ht="11.25" customHeight="1">
      <c r="A45" s="1223" t="s">
        <v>1008</v>
      </c>
      <c r="B45" s="1223"/>
      <c r="C45" s="473"/>
      <c r="D45" s="442">
        <v>-11</v>
      </c>
      <c r="E45" s="442">
        <v>-11</v>
      </c>
    </row>
    <row r="46" spans="1:17" ht="11.25" customHeight="1">
      <c r="A46" s="1224" t="s">
        <v>1009</v>
      </c>
      <c r="B46" s="1224"/>
      <c r="C46" s="464">
        <v>-13</v>
      </c>
      <c r="D46" s="433">
        <v>5</v>
      </c>
      <c r="E46" s="433">
        <v>-8</v>
      </c>
    </row>
    <row r="47" spans="1:17" ht="11.25" customHeight="1">
      <c r="A47" s="1290" t="s">
        <v>1309</v>
      </c>
      <c r="B47" s="1290"/>
      <c r="C47" s="455">
        <v>282</v>
      </c>
      <c r="D47" s="455">
        <v>-134</v>
      </c>
      <c r="E47" s="455">
        <v>149</v>
      </c>
    </row>
    <row r="48" spans="1:17" ht="11.25" customHeight="1">
      <c r="A48" s="953"/>
      <c r="B48" s="978"/>
      <c r="C48" s="473"/>
      <c r="D48" s="442"/>
      <c r="E48" s="473"/>
    </row>
    <row r="49" spans="1:17" ht="11.25" customHeight="1">
      <c r="A49" s="1399" t="s">
        <v>1423</v>
      </c>
      <c r="B49" s="1399"/>
      <c r="C49" s="540">
        <v>282</v>
      </c>
      <c r="D49" s="540">
        <v>-134</v>
      </c>
      <c r="E49" s="540">
        <v>149</v>
      </c>
    </row>
    <row r="50" spans="1:17" ht="11.25" customHeight="1">
      <c r="A50" s="1396" t="s">
        <v>791</v>
      </c>
      <c r="B50" s="1396"/>
      <c r="C50" s="559">
        <v>5</v>
      </c>
      <c r="D50" s="540">
        <v>-4</v>
      </c>
      <c r="E50" s="540"/>
    </row>
    <row r="51" spans="1:17" ht="11.25" customHeight="1">
      <c r="A51" s="1233" t="s">
        <v>1031</v>
      </c>
      <c r="B51" s="1233"/>
      <c r="C51" s="559"/>
      <c r="D51" s="540"/>
      <c r="E51" s="540"/>
    </row>
    <row r="52" spans="1:17" ht="11.25" customHeight="1">
      <c r="A52" s="1382" t="s">
        <v>1003</v>
      </c>
      <c r="B52" s="1382"/>
      <c r="C52" s="559">
        <v>13</v>
      </c>
      <c r="D52" s="540"/>
      <c r="E52" s="540">
        <v>13</v>
      </c>
    </row>
    <row r="53" spans="1:17" ht="11.25" customHeight="1">
      <c r="A53" s="1382" t="s">
        <v>1034</v>
      </c>
      <c r="B53" s="1382"/>
      <c r="C53" s="559">
        <v>-1</v>
      </c>
      <c r="D53" s="540"/>
      <c r="E53" s="540">
        <v>-1</v>
      </c>
    </row>
    <row r="54" spans="1:17" ht="11.25" customHeight="1">
      <c r="A54" s="1382" t="s">
        <v>1032</v>
      </c>
      <c r="B54" s="1382"/>
      <c r="C54" s="559">
        <v>5</v>
      </c>
      <c r="D54" s="540">
        <v>-2</v>
      </c>
      <c r="E54" s="540">
        <v>3</v>
      </c>
    </row>
    <row r="55" spans="1:17" ht="11.25" customHeight="1">
      <c r="A55" s="1241" t="s">
        <v>1033</v>
      </c>
      <c r="B55" s="1241"/>
      <c r="C55" s="540"/>
      <c r="D55" s="540"/>
      <c r="E55" s="540"/>
    </row>
    <row r="56" spans="1:17" ht="11.25" customHeight="1">
      <c r="A56" s="1382" t="s">
        <v>1004</v>
      </c>
      <c r="B56" s="1382"/>
      <c r="C56" s="559"/>
      <c r="D56" s="540">
        <v>-11</v>
      </c>
      <c r="E56" s="540">
        <v>-11</v>
      </c>
    </row>
    <row r="57" spans="1:17" ht="11.25" customHeight="1">
      <c r="A57" s="1242" t="s">
        <v>1005</v>
      </c>
      <c r="B57" s="1242"/>
      <c r="C57" s="559">
        <v>1</v>
      </c>
      <c r="D57" s="540"/>
      <c r="E57" s="540">
        <v>1</v>
      </c>
    </row>
    <row r="58" spans="1:17" ht="11.25" customHeight="1">
      <c r="A58" s="1242" t="s">
        <v>1172</v>
      </c>
      <c r="B58" s="1242"/>
      <c r="C58" s="559">
        <v>-1</v>
      </c>
      <c r="D58" s="540"/>
      <c r="E58" s="540">
        <v>-1</v>
      </c>
    </row>
    <row r="59" spans="1:17" ht="11.25" customHeight="1">
      <c r="A59" s="1242" t="s">
        <v>1006</v>
      </c>
      <c r="B59" s="1242"/>
      <c r="C59" s="540">
        <v>30</v>
      </c>
      <c r="D59" s="540"/>
      <c r="E59" s="540">
        <v>30</v>
      </c>
    </row>
    <row r="60" spans="1:17" ht="11.25" customHeight="1">
      <c r="A60" s="1237" t="s">
        <v>1007</v>
      </c>
      <c r="B60" s="1237"/>
      <c r="C60" s="540">
        <v>1</v>
      </c>
      <c r="D60" s="540">
        <v>-1</v>
      </c>
      <c r="E60" s="540"/>
    </row>
    <row r="61" spans="1:17" ht="11.25" customHeight="1">
      <c r="A61" s="1223" t="s">
        <v>1008</v>
      </c>
      <c r="B61" s="1223"/>
      <c r="C61" s="540"/>
      <c r="D61" s="540">
        <v>-10</v>
      </c>
      <c r="E61" s="540">
        <v>-10</v>
      </c>
    </row>
    <row r="62" spans="1:17" ht="11.25" customHeight="1">
      <c r="A62" s="1237" t="s">
        <v>1009</v>
      </c>
      <c r="B62" s="1237"/>
      <c r="C62" s="540">
        <v>-21</v>
      </c>
      <c r="D62" s="540">
        <v>10</v>
      </c>
      <c r="E62" s="540">
        <v>-12</v>
      </c>
    </row>
    <row r="63" spans="1:17" ht="11.25" customHeight="1">
      <c r="A63" s="1294" t="s">
        <v>1609</v>
      </c>
      <c r="B63" s="1294"/>
      <c r="C63" s="1130">
        <v>-15</v>
      </c>
      <c r="D63" s="1130">
        <v>7</v>
      </c>
      <c r="E63" s="1130">
        <v>-8</v>
      </c>
      <c r="F63" s="1128"/>
      <c r="G63" s="1128"/>
      <c r="H63" s="1128"/>
      <c r="I63" s="1128"/>
      <c r="J63" s="1128"/>
      <c r="K63" s="1128"/>
      <c r="L63" s="1128"/>
      <c r="M63" s="1128"/>
      <c r="N63" s="1128"/>
      <c r="O63" s="1128"/>
      <c r="P63" s="1128"/>
      <c r="Q63" s="1128"/>
    </row>
    <row r="64" spans="1:17" ht="11.25" customHeight="1">
      <c r="A64" s="1290" t="s">
        <v>1424</v>
      </c>
      <c r="B64" s="1290"/>
      <c r="C64" s="537">
        <v>299</v>
      </c>
      <c r="D64" s="537">
        <v>-146</v>
      </c>
      <c r="E64" s="537">
        <v>155</v>
      </c>
    </row>
    <row r="65" spans="1:17" ht="11.25" customHeight="1">
      <c r="A65" s="1402"/>
      <c r="B65" s="1402"/>
      <c r="C65" s="1402"/>
      <c r="D65" s="1402"/>
      <c r="E65" s="1402"/>
    </row>
    <row r="66" spans="1:17" ht="11.25" customHeight="1">
      <c r="A66" s="1301"/>
      <c r="B66" s="1301"/>
      <c r="C66" s="1301"/>
      <c r="D66" s="1301"/>
      <c r="E66" s="1301"/>
    </row>
    <row r="67" spans="1:17" ht="11.25" customHeight="1">
      <c r="A67" s="1282" t="s">
        <v>1010</v>
      </c>
      <c r="B67" s="1282"/>
      <c r="C67" s="1282"/>
      <c r="D67" s="1282"/>
      <c r="E67" s="1282"/>
    </row>
    <row r="68" spans="1:17" ht="11.25" customHeight="1">
      <c r="A68" s="493" t="s">
        <v>843</v>
      </c>
      <c r="B68" s="493"/>
      <c r="C68" s="494"/>
      <c r="D68" s="558">
        <v>2019</v>
      </c>
      <c r="E68" s="467">
        <v>2018</v>
      </c>
    </row>
    <row r="69" spans="1:17" ht="11.25" customHeight="1">
      <c r="A69" s="1237" t="s">
        <v>1138</v>
      </c>
      <c r="B69" s="1237"/>
      <c r="C69" s="439"/>
      <c r="D69" s="540">
        <v>18</v>
      </c>
      <c r="E69" s="442">
        <v>17</v>
      </c>
    </row>
    <row r="70" spans="1:17" ht="11.25" customHeight="1">
      <c r="A70" s="1237" t="s">
        <v>1139</v>
      </c>
      <c r="B70" s="1237"/>
      <c r="C70" s="439"/>
      <c r="D70" s="540">
        <v>35</v>
      </c>
      <c r="E70" s="442">
        <v>33</v>
      </c>
    </row>
    <row r="71" spans="1:17" ht="11.25" customHeight="1">
      <c r="A71" s="1237" t="s">
        <v>1140</v>
      </c>
      <c r="B71" s="1237"/>
      <c r="C71" s="439"/>
      <c r="D71" s="540">
        <v>17</v>
      </c>
      <c r="E71" s="442">
        <v>17</v>
      </c>
    </row>
    <row r="72" spans="1:17" ht="11.25" customHeight="1">
      <c r="A72" s="1237" t="s">
        <v>1141</v>
      </c>
      <c r="B72" s="1237"/>
      <c r="C72" s="439"/>
      <c r="D72" s="540">
        <v>30</v>
      </c>
      <c r="E72" s="442">
        <v>33</v>
      </c>
    </row>
    <row r="73" spans="1:17" ht="11.25" customHeight="1">
      <c r="A73" s="235"/>
      <c r="B73" s="235"/>
      <c r="C73" s="235"/>
      <c r="D73" s="235"/>
      <c r="E73" s="235"/>
      <c r="F73" s="713"/>
      <c r="G73" s="713"/>
      <c r="H73" s="713"/>
      <c r="I73" s="713"/>
      <c r="J73" s="713"/>
      <c r="K73" s="713"/>
      <c r="L73" s="713"/>
      <c r="M73" s="713"/>
      <c r="N73" s="713"/>
      <c r="O73" s="713"/>
      <c r="P73" s="713"/>
      <c r="Q73" s="713"/>
    </row>
    <row r="74" spans="1:17" ht="11.25" customHeight="1">
      <c r="A74" s="1392"/>
      <c r="B74" s="1392"/>
      <c r="C74" s="1392"/>
      <c r="D74" s="1392"/>
      <c r="E74" s="1392"/>
    </row>
    <row r="75" spans="1:17" ht="11.25" customHeight="1">
      <c r="A75" s="1282" t="s">
        <v>1142</v>
      </c>
      <c r="B75" s="1282"/>
      <c r="C75" s="1282"/>
      <c r="D75" s="1282"/>
      <c r="E75" s="1282"/>
    </row>
    <row r="76" spans="1:17" ht="11.25" customHeight="1">
      <c r="A76" s="490" t="s">
        <v>843</v>
      </c>
      <c r="B76" s="493"/>
      <c r="C76" s="494"/>
      <c r="D76" s="558">
        <v>2019</v>
      </c>
      <c r="E76" s="467">
        <v>2018</v>
      </c>
    </row>
    <row r="77" spans="1:17" ht="11.25" customHeight="1">
      <c r="A77" s="1396" t="s">
        <v>1013</v>
      </c>
      <c r="B77" s="1396"/>
      <c r="C77" s="440"/>
      <c r="D77" s="572">
        <v>1.08</v>
      </c>
      <c r="E77" s="477">
        <v>1.78</v>
      </c>
    </row>
    <row r="78" spans="1:17" ht="11.25" customHeight="1">
      <c r="A78" s="1237" t="s">
        <v>1014</v>
      </c>
      <c r="B78" s="1237"/>
      <c r="C78" s="479"/>
      <c r="D78" s="572">
        <v>2.0299999999999998</v>
      </c>
      <c r="E78" s="477">
        <v>2.16</v>
      </c>
    </row>
    <row r="79" spans="1:17" ht="11.25" customHeight="1">
      <c r="A79" s="1237" t="s">
        <v>1015</v>
      </c>
      <c r="B79" s="1237"/>
      <c r="C79" s="479"/>
      <c r="D79" s="572">
        <v>1.1399999999999999</v>
      </c>
      <c r="E79" s="477">
        <v>1.18</v>
      </c>
    </row>
    <row r="80" spans="1:17" ht="11.25" customHeight="1">
      <c r="A80" s="1389"/>
      <c r="B80" s="1389"/>
      <c r="C80" s="1389"/>
      <c r="D80" s="1389"/>
      <c r="E80" s="1389"/>
    </row>
    <row r="81" spans="1:5" ht="22.5" customHeight="1">
      <c r="A81" s="1271" t="s">
        <v>1551</v>
      </c>
      <c r="B81" s="1271"/>
      <c r="C81" s="1271"/>
      <c r="D81" s="1271"/>
      <c r="E81" s="1271"/>
    </row>
    <row r="82" spans="1:5" ht="10.5" customHeight="1">
      <c r="A82" s="1390"/>
      <c r="B82" s="1390"/>
      <c r="C82" s="1390"/>
      <c r="D82" s="1390"/>
      <c r="E82" s="1390"/>
    </row>
    <row r="83" spans="1:5" s="1206" customFormat="1" ht="23.25" customHeight="1">
      <c r="A83" s="1395" t="s">
        <v>1019</v>
      </c>
      <c r="B83" s="1395"/>
      <c r="C83" s="1395"/>
      <c r="D83" s="1395"/>
      <c r="E83" s="1395"/>
    </row>
    <row r="84" spans="1:5">
      <c r="A84" s="1394"/>
      <c r="B84" s="1394"/>
      <c r="C84" s="1394"/>
      <c r="D84" s="1394"/>
      <c r="E84" s="1394"/>
    </row>
    <row r="85" spans="1:5" ht="11.25" customHeight="1">
      <c r="A85" s="493"/>
      <c r="B85" s="493"/>
      <c r="C85" s="494"/>
      <c r="D85" s="558">
        <v>2019</v>
      </c>
      <c r="E85" s="467">
        <v>2018</v>
      </c>
    </row>
    <row r="86" spans="1:5" ht="11.25" customHeight="1">
      <c r="A86" s="1400" t="s">
        <v>1080</v>
      </c>
      <c r="B86" s="1400"/>
      <c r="C86" s="619"/>
      <c r="D86" s="572"/>
      <c r="E86" s="477"/>
    </row>
    <row r="87" spans="1:5" ht="11.25" customHeight="1">
      <c r="A87" s="1242" t="s">
        <v>1011</v>
      </c>
      <c r="B87" s="1242"/>
      <c r="C87" s="1242"/>
      <c r="D87" s="591">
        <v>17.399999999999999</v>
      </c>
      <c r="E87" s="517">
        <v>17</v>
      </c>
    </row>
    <row r="88" spans="1:5" ht="11.25" customHeight="1">
      <c r="A88" s="1242" t="s">
        <v>1012</v>
      </c>
      <c r="B88" s="1242"/>
      <c r="C88" s="1242"/>
      <c r="D88" s="591">
        <v>20</v>
      </c>
      <c r="E88" s="517">
        <v>17.100000000000001</v>
      </c>
    </row>
    <row r="89" spans="1:5" ht="11.25" customHeight="1">
      <c r="A89" s="1401" t="s">
        <v>1081</v>
      </c>
      <c r="B89" s="1401"/>
      <c r="C89" s="619"/>
      <c r="D89" s="591"/>
      <c r="E89" s="517"/>
    </row>
    <row r="90" spans="1:5" ht="11.25" customHeight="1">
      <c r="A90" s="1242" t="s">
        <v>1011</v>
      </c>
      <c r="B90" s="1242"/>
      <c r="C90" s="1242"/>
      <c r="D90" s="591">
        <v>18.399999999999999</v>
      </c>
      <c r="E90" s="517">
        <v>16.100000000000001</v>
      </c>
    </row>
    <row r="91" spans="1:5" ht="11.25" customHeight="1">
      <c r="A91" s="1242" t="s">
        <v>1012</v>
      </c>
      <c r="B91" s="1242"/>
      <c r="C91" s="1242"/>
      <c r="D91" s="591">
        <v>20.399999999999999</v>
      </c>
      <c r="E91" s="517">
        <v>18.100000000000001</v>
      </c>
    </row>
    <row r="92" spans="1:5" ht="11.25" customHeight="1">
      <c r="A92" s="1389"/>
      <c r="B92" s="1389"/>
      <c r="C92" s="1389"/>
      <c r="D92" s="1389"/>
      <c r="E92" s="1389"/>
    </row>
    <row r="93" spans="1:5" ht="33.75" customHeight="1">
      <c r="A93" s="1394" t="s">
        <v>1082</v>
      </c>
      <c r="B93" s="1394"/>
      <c r="C93" s="1394"/>
      <c r="D93" s="1394"/>
      <c r="E93" s="1394"/>
    </row>
    <row r="94" spans="1:5" ht="11.25" customHeight="1">
      <c r="A94" s="1393"/>
      <c r="B94" s="1393"/>
      <c r="C94" s="1393"/>
      <c r="D94" s="1393"/>
      <c r="E94" s="1393"/>
    </row>
    <row r="95" spans="1:5" ht="11.25" customHeight="1">
      <c r="A95" s="1297" t="s">
        <v>802</v>
      </c>
      <c r="B95" s="1297"/>
      <c r="C95" s="341"/>
      <c r="D95" s="341"/>
      <c r="E95" s="341"/>
    </row>
    <row r="96" spans="1:5" ht="33.75" customHeight="1">
      <c r="A96" s="602"/>
      <c r="B96" s="621"/>
      <c r="C96" s="979"/>
      <c r="D96" s="1397" t="s">
        <v>1083</v>
      </c>
      <c r="E96" s="1397"/>
    </row>
    <row r="97" spans="1:5" ht="22.5" customHeight="1">
      <c r="A97" s="490"/>
      <c r="B97" s="491"/>
      <c r="C97" s="487" t="s">
        <v>1016</v>
      </c>
      <c r="D97" s="934">
        <v>2019</v>
      </c>
      <c r="E97" s="487">
        <v>2018</v>
      </c>
    </row>
    <row r="98" spans="1:5" ht="11.25" customHeight="1">
      <c r="A98" s="1293" t="s">
        <v>1013</v>
      </c>
      <c r="B98" s="1293"/>
      <c r="C98" s="447" t="s">
        <v>1017</v>
      </c>
      <c r="D98" s="620" t="s">
        <v>1552</v>
      </c>
      <c r="E98" s="442" t="s">
        <v>1335</v>
      </c>
    </row>
    <row r="99" spans="1:5" ht="11.25" customHeight="1">
      <c r="A99" s="1281" t="s">
        <v>1013</v>
      </c>
      <c r="B99" s="1281"/>
      <c r="C99" s="447" t="s">
        <v>1018</v>
      </c>
      <c r="D99" s="620" t="s">
        <v>1553</v>
      </c>
      <c r="E99" s="442" t="s">
        <v>1336</v>
      </c>
    </row>
    <row r="100" spans="1:5" ht="11.25" customHeight="1">
      <c r="A100" s="1281" t="s">
        <v>1014</v>
      </c>
      <c r="B100" s="1281"/>
      <c r="C100" s="447" t="s">
        <v>1017</v>
      </c>
      <c r="D100" s="620" t="s">
        <v>1554</v>
      </c>
      <c r="E100" s="442" t="s">
        <v>1337</v>
      </c>
    </row>
    <row r="101" spans="1:5" ht="11.25" customHeight="1">
      <c r="A101" s="1281" t="s">
        <v>1014</v>
      </c>
      <c r="B101" s="1281"/>
      <c r="C101" s="447" t="s">
        <v>1018</v>
      </c>
      <c r="D101" s="620" t="s">
        <v>1338</v>
      </c>
      <c r="E101" s="442" t="s">
        <v>1338</v>
      </c>
    </row>
    <row r="102" spans="1:5" ht="11.25" customHeight="1">
      <c r="A102" s="1281" t="s">
        <v>1015</v>
      </c>
      <c r="B102" s="1281"/>
      <c r="C102" s="447" t="s">
        <v>1017</v>
      </c>
      <c r="D102" s="620" t="s">
        <v>1555</v>
      </c>
      <c r="E102" s="442" t="s">
        <v>1339</v>
      </c>
    </row>
    <row r="103" spans="1:5" ht="11.25" customHeight="1">
      <c r="A103" s="1281" t="s">
        <v>1015</v>
      </c>
      <c r="B103" s="1281"/>
      <c r="C103" s="447" t="s">
        <v>1018</v>
      </c>
      <c r="D103" s="620" t="s">
        <v>1556</v>
      </c>
      <c r="E103" s="442" t="s">
        <v>1229</v>
      </c>
    </row>
    <row r="104" spans="1:5" ht="11.25" customHeight="1">
      <c r="A104" s="640"/>
      <c r="B104" s="639"/>
      <c r="C104" s="639"/>
      <c r="D104" s="639"/>
      <c r="E104" s="639"/>
    </row>
    <row r="105" spans="1:5" ht="11.25" customHeight="1">
      <c r="A105" s="329"/>
      <c r="B105" s="287"/>
      <c r="C105" s="341"/>
      <c r="D105" s="341"/>
      <c r="E105" s="341"/>
    </row>
    <row r="106" spans="1:5" ht="11.25" customHeight="1">
      <c r="A106" s="329"/>
      <c r="B106" s="287"/>
      <c r="C106" s="341"/>
      <c r="D106" s="341"/>
      <c r="E106" s="341"/>
    </row>
    <row r="107" spans="1:5" ht="11.25" customHeight="1">
      <c r="A107" s="329"/>
      <c r="B107" s="287"/>
      <c r="C107" s="341"/>
      <c r="D107" s="341"/>
      <c r="E107" s="341"/>
    </row>
    <row r="108" spans="1:5" ht="11.25" customHeight="1">
      <c r="A108" s="329"/>
      <c r="B108" s="287"/>
      <c r="C108" s="341"/>
      <c r="D108" s="341"/>
      <c r="E108" s="341"/>
    </row>
    <row r="109" spans="1:5" ht="11.25" customHeight="1">
      <c r="B109" s="226"/>
      <c r="C109" s="335"/>
      <c r="D109" s="335"/>
      <c r="E109" s="335"/>
    </row>
    <row r="110" spans="1:5" ht="11.25" customHeight="1">
      <c r="B110" s="226"/>
      <c r="C110" s="335"/>
      <c r="D110" s="335"/>
      <c r="E110" s="335"/>
    </row>
    <row r="111" spans="1:5" ht="11.25" customHeight="1">
      <c r="B111" s="226"/>
      <c r="C111" s="335"/>
      <c r="D111" s="335"/>
      <c r="E111" s="335"/>
    </row>
    <row r="112" spans="1:5" ht="11.25" customHeight="1">
      <c r="B112" s="226"/>
      <c r="C112" s="335"/>
      <c r="D112" s="335"/>
      <c r="E112" s="335"/>
    </row>
    <row r="113" spans="2:5" ht="11.25" customHeight="1">
      <c r="B113" s="226"/>
      <c r="C113" s="335"/>
      <c r="D113" s="335"/>
      <c r="E113" s="335"/>
    </row>
    <row r="114" spans="2:5" ht="11.25" customHeight="1">
      <c r="B114" s="226"/>
      <c r="C114" s="335"/>
      <c r="D114" s="335"/>
      <c r="E114" s="335"/>
    </row>
    <row r="115" spans="2:5" ht="11.25" customHeight="1">
      <c r="B115" s="226"/>
      <c r="C115" s="335"/>
      <c r="D115" s="335"/>
      <c r="E115" s="335"/>
    </row>
    <row r="116" spans="2:5" ht="11.25" customHeight="1">
      <c r="B116" s="226"/>
      <c r="C116" s="335"/>
      <c r="D116" s="335"/>
      <c r="E116" s="335"/>
    </row>
    <row r="117" spans="2:5" ht="11.25" customHeight="1">
      <c r="B117" s="226"/>
      <c r="C117" s="335"/>
      <c r="D117" s="335"/>
      <c r="E117" s="335"/>
    </row>
    <row r="118" spans="2:5" ht="11.25" customHeight="1">
      <c r="B118" s="226"/>
      <c r="C118" s="335"/>
      <c r="D118" s="335"/>
      <c r="E118" s="335"/>
    </row>
    <row r="119" spans="2:5" ht="11.25" customHeight="1">
      <c r="B119" s="226"/>
      <c r="C119" s="335"/>
      <c r="D119" s="335"/>
      <c r="E119" s="335"/>
    </row>
    <row r="120" spans="2:5">
      <c r="B120" s="226"/>
      <c r="C120" s="335"/>
      <c r="D120" s="335"/>
      <c r="E120" s="335"/>
    </row>
    <row r="121" spans="2:5">
      <c r="B121" s="226"/>
      <c r="C121" s="335"/>
      <c r="D121" s="335"/>
      <c r="E121" s="335"/>
    </row>
    <row r="122" spans="2:5">
      <c r="B122" s="226"/>
      <c r="C122" s="335"/>
      <c r="D122" s="335"/>
      <c r="E122" s="335"/>
    </row>
    <row r="123" spans="2:5">
      <c r="B123" s="226"/>
      <c r="C123" s="335"/>
      <c r="D123" s="335"/>
      <c r="E123" s="335"/>
    </row>
    <row r="124" spans="2:5">
      <c r="B124" s="226"/>
      <c r="C124" s="335"/>
      <c r="D124" s="335"/>
      <c r="E124" s="335"/>
    </row>
    <row r="125" spans="2:5">
      <c r="B125" s="226"/>
      <c r="C125" s="335"/>
      <c r="D125" s="335"/>
      <c r="E125" s="335"/>
    </row>
    <row r="126" spans="2:5">
      <c r="B126" s="226"/>
      <c r="C126" s="335"/>
      <c r="D126" s="335"/>
      <c r="E126" s="335"/>
    </row>
    <row r="127" spans="2:5">
      <c r="B127" s="226"/>
      <c r="C127" s="335"/>
      <c r="D127" s="335"/>
      <c r="E127" s="335"/>
    </row>
    <row r="128" spans="2:5">
      <c r="B128" s="226"/>
      <c r="C128" s="335"/>
      <c r="D128" s="335"/>
      <c r="E128" s="335"/>
    </row>
    <row r="129" spans="2:5">
      <c r="B129" s="226"/>
      <c r="C129" s="335"/>
      <c r="D129" s="335"/>
      <c r="E129" s="335"/>
    </row>
    <row r="130" spans="2:5">
      <c r="B130" s="226"/>
      <c r="C130" s="335"/>
      <c r="D130" s="335"/>
      <c r="E130" s="335"/>
    </row>
    <row r="131" spans="2:5">
      <c r="B131" s="226"/>
      <c r="C131" s="335"/>
      <c r="D131" s="335"/>
      <c r="E131" s="335"/>
    </row>
    <row r="132" spans="2:5">
      <c r="B132" s="226"/>
      <c r="C132" s="335"/>
      <c r="D132" s="335"/>
      <c r="E132" s="335"/>
    </row>
    <row r="133" spans="2:5">
      <c r="B133" s="226"/>
      <c r="C133" s="335"/>
      <c r="D133" s="335"/>
      <c r="E133" s="335"/>
    </row>
    <row r="134" spans="2:5">
      <c r="B134" s="226"/>
      <c r="C134" s="335"/>
      <c r="D134" s="335"/>
      <c r="E134" s="335"/>
    </row>
    <row r="149" spans="2:5">
      <c r="B149" s="239"/>
      <c r="C149" s="239"/>
      <c r="D149" s="239"/>
      <c r="E149" s="239"/>
    </row>
    <row r="150" spans="2:5">
      <c r="B150" s="239"/>
      <c r="C150" s="239"/>
      <c r="D150" s="239"/>
      <c r="E150" s="239"/>
    </row>
    <row r="151" spans="2:5">
      <c r="B151" s="239"/>
      <c r="C151" s="239"/>
      <c r="D151" s="239"/>
      <c r="E151" s="239"/>
    </row>
    <row r="152" spans="2:5">
      <c r="B152" s="239"/>
      <c r="C152" s="239"/>
      <c r="D152" s="239"/>
      <c r="E152" s="239"/>
    </row>
    <row r="153" spans="2:5">
      <c r="B153" s="239"/>
      <c r="C153" s="239"/>
      <c r="D153" s="239"/>
      <c r="E153" s="239"/>
    </row>
    <row r="154" spans="2:5">
      <c r="B154" s="239"/>
      <c r="C154" s="239"/>
      <c r="D154" s="239"/>
      <c r="E154" s="239"/>
    </row>
    <row r="155" spans="2:5">
      <c r="B155" s="239"/>
      <c r="C155" s="239"/>
      <c r="D155" s="239"/>
      <c r="E155" s="239"/>
    </row>
    <row r="156" spans="2:5">
      <c r="B156" s="239"/>
      <c r="C156" s="239"/>
      <c r="D156" s="239"/>
      <c r="E156" s="239"/>
    </row>
    <row r="157" spans="2:5">
      <c r="B157" s="239"/>
      <c r="C157" s="239"/>
      <c r="D157" s="239"/>
      <c r="E157" s="239"/>
    </row>
    <row r="158" spans="2:5">
      <c r="B158" s="239"/>
      <c r="C158" s="239"/>
      <c r="D158" s="239"/>
      <c r="E158" s="239"/>
    </row>
    <row r="159" spans="2:5">
      <c r="B159" s="239"/>
      <c r="C159" s="239"/>
      <c r="D159" s="239"/>
      <c r="E159" s="239"/>
    </row>
  </sheetData>
  <mergeCells count="91">
    <mergeCell ref="A2:E2"/>
    <mergeCell ref="A36:B36"/>
    <mergeCell ref="A87:C87"/>
    <mergeCell ref="A88:C88"/>
    <mergeCell ref="A90:C90"/>
    <mergeCell ref="A52:B52"/>
    <mergeCell ref="A53:B53"/>
    <mergeCell ref="A54:B54"/>
    <mergeCell ref="A56:B56"/>
    <mergeCell ref="A57:B57"/>
    <mergeCell ref="A58:B58"/>
    <mergeCell ref="A59:B59"/>
    <mergeCell ref="A86:B86"/>
    <mergeCell ref="A89:B89"/>
    <mergeCell ref="A65:E65"/>
    <mergeCell ref="A66:E66"/>
    <mergeCell ref="A18:B18"/>
    <mergeCell ref="A35:B35"/>
    <mergeCell ref="A15:E15"/>
    <mergeCell ref="A64:B64"/>
    <mergeCell ref="A51:B51"/>
    <mergeCell ref="A50:B50"/>
    <mergeCell ref="A62:B62"/>
    <mergeCell ref="A37:B37"/>
    <mergeCell ref="A63:B63"/>
    <mergeCell ref="A55:B55"/>
    <mergeCell ref="A60:B60"/>
    <mergeCell ref="A61:B61"/>
    <mergeCell ref="A47:B47"/>
    <mergeCell ref="A49:B49"/>
    <mergeCell ref="A23:E23"/>
    <mergeCell ref="A19:B19"/>
    <mergeCell ref="A1:E1"/>
    <mergeCell ref="A44:B44"/>
    <mergeCell ref="A45:B45"/>
    <mergeCell ref="A46:B46"/>
    <mergeCell ref="A28:B28"/>
    <mergeCell ref="A29:B29"/>
    <mergeCell ref="A32:B32"/>
    <mergeCell ref="A40:B40"/>
    <mergeCell ref="A33:B33"/>
    <mergeCell ref="A20:B20"/>
    <mergeCell ref="A21:B21"/>
    <mergeCell ref="A24:B24"/>
    <mergeCell ref="A25:B25"/>
    <mergeCell ref="A27:B27"/>
    <mergeCell ref="A3:B3"/>
    <mergeCell ref="A4:C4"/>
    <mergeCell ref="A103:B103"/>
    <mergeCell ref="A67:E67"/>
    <mergeCell ref="A93:E93"/>
    <mergeCell ref="A95:B95"/>
    <mergeCell ref="A98:B98"/>
    <mergeCell ref="A81:E81"/>
    <mergeCell ref="A83:E83"/>
    <mergeCell ref="A69:B69"/>
    <mergeCell ref="A70:B70"/>
    <mergeCell ref="A71:B71"/>
    <mergeCell ref="A72:B72"/>
    <mergeCell ref="A75:E75"/>
    <mergeCell ref="A77:B77"/>
    <mergeCell ref="A78:B78"/>
    <mergeCell ref="D96:E96"/>
    <mergeCell ref="A80:E80"/>
    <mergeCell ref="A99:B99"/>
    <mergeCell ref="A100:B100"/>
    <mergeCell ref="A101:B101"/>
    <mergeCell ref="A102:B102"/>
    <mergeCell ref="A82:E82"/>
    <mergeCell ref="A84:E84"/>
    <mergeCell ref="A74:E74"/>
    <mergeCell ref="A92:E92"/>
    <mergeCell ref="A94:E94"/>
    <mergeCell ref="A79:B79"/>
    <mergeCell ref="A91:C91"/>
    <mergeCell ref="A26:B26"/>
    <mergeCell ref="A34:B34"/>
    <mergeCell ref="A31:E31"/>
    <mergeCell ref="A43:B43"/>
    <mergeCell ref="A42:B42"/>
    <mergeCell ref="A41:B41"/>
    <mergeCell ref="A39:B39"/>
    <mergeCell ref="A38:B38"/>
    <mergeCell ref="A5:B5"/>
    <mergeCell ref="A7:E7"/>
    <mergeCell ref="A9:E9"/>
    <mergeCell ref="A11:E11"/>
    <mergeCell ref="A17:B17"/>
    <mergeCell ref="A6:E6"/>
    <mergeCell ref="A8:E8"/>
    <mergeCell ref="A13:E13"/>
  </mergeCells>
  <phoneticPr fontId="0" type="noConversion"/>
  <pageMargins left="0.75" right="0.75" top="1" bottom="1" header="0.5" footer="0.5"/>
  <pageSetup paperSize="9" scale="84" orientation="portrait" r:id="rId1"/>
  <headerFooter alignWithMargins="0"/>
  <rowBreaks count="2" manualBreakCount="2">
    <brk id="31" max="4" man="1"/>
    <brk id="94" max="4" man="1"/>
  </rowBreaks>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8"/>
  <dimension ref="A1:Q52"/>
  <sheetViews>
    <sheetView zoomScaleNormal="100" workbookViewId="0">
      <selection sqref="A1:E1"/>
    </sheetView>
  </sheetViews>
  <sheetFormatPr defaultColWidth="8.6640625" defaultRowHeight="11.25"/>
  <cols>
    <col min="1" max="1" width="76.6640625" style="274" customWidth="1"/>
    <col min="2" max="5" width="13.33203125" style="229" customWidth="1"/>
    <col min="6" max="17" width="3.6640625" style="205" customWidth="1"/>
    <col min="18" max="16384" width="8.6640625" style="1151"/>
  </cols>
  <sheetData>
    <row r="1" spans="1:17" ht="15.75" customHeight="1">
      <c r="A1" s="1252" t="s">
        <v>1516</v>
      </c>
      <c r="B1" s="1252"/>
      <c r="C1" s="1252"/>
      <c r="D1" s="1252"/>
      <c r="E1" s="1252"/>
    </row>
    <row r="2" spans="1:17" ht="11.25" customHeight="1">
      <c r="A2" s="361"/>
      <c r="B2" s="268"/>
      <c r="C2" s="268"/>
      <c r="D2" s="268"/>
      <c r="E2" s="268"/>
    </row>
    <row r="3" spans="1:17" ht="12" customHeight="1">
      <c r="A3" s="1246" t="s">
        <v>1163</v>
      </c>
      <c r="B3" s="1246"/>
      <c r="C3" s="1246"/>
      <c r="D3" s="1246"/>
      <c r="E3" s="1246"/>
    </row>
    <row r="4" spans="1:17" ht="11.25" customHeight="1">
      <c r="A4" s="307"/>
      <c r="B4" s="528"/>
      <c r="C4" s="528"/>
      <c r="D4" s="528"/>
      <c r="E4" s="528"/>
    </row>
    <row r="5" spans="1:17" ht="12.75" customHeight="1">
      <c r="A5" s="1352" t="s">
        <v>895</v>
      </c>
      <c r="B5" s="1352"/>
      <c r="C5" s="1352"/>
      <c r="D5" s="1352"/>
      <c r="E5" s="1352"/>
    </row>
    <row r="6" spans="1:17" ht="11.25" customHeight="1">
      <c r="A6" s="600"/>
      <c r="B6" s="334"/>
      <c r="C6" s="334"/>
      <c r="D6" s="334"/>
      <c r="E6" s="334"/>
    </row>
    <row r="7" spans="1:17" ht="11.25" customHeight="1">
      <c r="A7" s="460" t="s">
        <v>700</v>
      </c>
      <c r="B7" s="494"/>
      <c r="C7" s="494"/>
      <c r="D7" s="494"/>
      <c r="E7" s="494"/>
    </row>
    <row r="8" spans="1:17" ht="33.75" customHeight="1">
      <c r="A8" s="460" t="s">
        <v>119</v>
      </c>
      <c r="B8" s="487" t="s">
        <v>935</v>
      </c>
      <c r="C8" s="487" t="s">
        <v>944</v>
      </c>
      <c r="D8" s="487" t="s">
        <v>862</v>
      </c>
      <c r="E8" s="487" t="s">
        <v>641</v>
      </c>
    </row>
    <row r="9" spans="1:17" ht="11.25" customHeight="1">
      <c r="A9" s="839" t="s">
        <v>1306</v>
      </c>
      <c r="B9" s="442">
        <v>197241130</v>
      </c>
      <c r="C9" s="442">
        <v>336</v>
      </c>
      <c r="D9" s="442">
        <v>61</v>
      </c>
      <c r="E9" s="442">
        <v>397</v>
      </c>
    </row>
    <row r="10" spans="1:17" ht="11.25" customHeight="1">
      <c r="A10" s="839" t="s">
        <v>1298</v>
      </c>
      <c r="B10" s="473">
        <v>394482260</v>
      </c>
      <c r="C10" s="473"/>
      <c r="D10" s="473"/>
      <c r="E10" s="473"/>
      <c r="F10" s="841"/>
      <c r="G10" s="841"/>
      <c r="H10" s="841"/>
      <c r="I10" s="841"/>
      <c r="J10" s="841"/>
      <c r="K10" s="841"/>
      <c r="L10" s="841"/>
      <c r="M10" s="841"/>
      <c r="N10" s="841"/>
      <c r="O10" s="841"/>
      <c r="P10" s="841"/>
      <c r="Q10" s="841"/>
    </row>
    <row r="11" spans="1:17" ht="11.25" customHeight="1">
      <c r="A11" s="843" t="s">
        <v>1307</v>
      </c>
      <c r="B11" s="844">
        <v>591723390</v>
      </c>
      <c r="C11" s="844">
        <v>336</v>
      </c>
      <c r="D11" s="844">
        <v>61</v>
      </c>
      <c r="E11" s="844">
        <v>397</v>
      </c>
    </row>
    <row r="12" spans="1:17" ht="11.25" customHeight="1">
      <c r="A12" s="840" t="s">
        <v>1422</v>
      </c>
      <c r="B12" s="455">
        <v>591723390</v>
      </c>
      <c r="C12" s="455">
        <v>336</v>
      </c>
      <c r="D12" s="455">
        <v>61</v>
      </c>
      <c r="E12" s="455">
        <v>397</v>
      </c>
    </row>
    <row r="13" spans="1:17" ht="11.25" customHeight="1">
      <c r="A13" s="279"/>
      <c r="B13" s="281"/>
      <c r="C13" s="281"/>
      <c r="D13" s="281"/>
      <c r="E13" s="281"/>
    </row>
    <row r="14" spans="1:17" ht="22.5" customHeight="1">
      <c r="A14" s="1246" t="s">
        <v>1671</v>
      </c>
      <c r="B14" s="1246"/>
      <c r="C14" s="1246"/>
      <c r="D14" s="1246"/>
      <c r="E14" s="1246"/>
    </row>
    <row r="15" spans="1:17" ht="12" customHeight="1">
      <c r="A15" s="396"/>
      <c r="B15" s="396"/>
      <c r="C15" s="396"/>
      <c r="D15" s="396"/>
      <c r="E15" s="396"/>
    </row>
    <row r="16" spans="1:17" ht="12" customHeight="1">
      <c r="A16" s="1352" t="s">
        <v>1052</v>
      </c>
      <c r="B16" s="1352"/>
      <c r="C16" s="1352"/>
      <c r="D16" s="1352"/>
      <c r="E16" s="1352"/>
    </row>
    <row r="17" spans="1:17" ht="12" customHeight="1">
      <c r="A17" s="731"/>
      <c r="B17" s="731"/>
      <c r="C17" s="731"/>
      <c r="D17" s="731"/>
      <c r="E17" s="731"/>
      <c r="F17" s="733"/>
      <c r="G17" s="733"/>
      <c r="H17" s="733"/>
      <c r="I17" s="733"/>
      <c r="J17" s="733"/>
      <c r="K17" s="733"/>
      <c r="L17" s="733"/>
      <c r="M17" s="733"/>
      <c r="N17" s="733"/>
      <c r="O17" s="733"/>
      <c r="P17" s="733"/>
      <c r="Q17" s="733"/>
    </row>
    <row r="18" spans="1:17" ht="21" customHeight="1">
      <c r="A18" s="1246" t="s">
        <v>1736</v>
      </c>
      <c r="B18" s="1246"/>
      <c r="C18" s="1246"/>
      <c r="D18" s="1246"/>
      <c r="E18" s="1246"/>
    </row>
    <row r="19" spans="1:17" ht="11.25" customHeight="1">
      <c r="A19" s="279"/>
      <c r="B19" s="281"/>
      <c r="C19" s="281"/>
      <c r="D19" s="281"/>
      <c r="E19" s="281"/>
    </row>
    <row r="20" spans="1:17" ht="11.25" customHeight="1">
      <c r="A20" s="1352" t="s">
        <v>1051</v>
      </c>
      <c r="B20" s="1352"/>
      <c r="C20" s="1352"/>
      <c r="D20" s="1352"/>
      <c r="E20" s="1352"/>
    </row>
    <row r="21" spans="1:17" ht="11.25" customHeight="1">
      <c r="A21" s="731"/>
      <c r="B21" s="731"/>
      <c r="C21" s="731"/>
      <c r="D21" s="731"/>
      <c r="E21" s="731"/>
      <c r="F21" s="733"/>
      <c r="G21" s="733"/>
      <c r="H21" s="733"/>
      <c r="I21" s="733"/>
      <c r="J21" s="733"/>
      <c r="K21" s="733"/>
      <c r="L21" s="733"/>
      <c r="M21" s="733"/>
      <c r="N21" s="733"/>
      <c r="O21" s="733"/>
      <c r="P21" s="733"/>
      <c r="Q21" s="733"/>
    </row>
    <row r="22" spans="1:17" ht="23.25" customHeight="1">
      <c r="A22" s="1299" t="s">
        <v>1672</v>
      </c>
      <c r="B22" s="1299"/>
      <c r="C22" s="1299"/>
      <c r="D22" s="1299"/>
      <c r="E22" s="1299"/>
    </row>
    <row r="23" spans="1:17" ht="11.25" customHeight="1">
      <c r="A23" s="279"/>
      <c r="B23" s="281"/>
      <c r="C23" s="281"/>
      <c r="D23" s="281"/>
      <c r="E23" s="281"/>
    </row>
    <row r="24" spans="1:17" ht="11.25" customHeight="1">
      <c r="A24" s="1352" t="s">
        <v>370</v>
      </c>
      <c r="B24" s="1352"/>
      <c r="C24" s="1352"/>
      <c r="D24" s="1352"/>
      <c r="E24" s="1352"/>
    </row>
    <row r="25" spans="1:17" ht="11.25" customHeight="1">
      <c r="A25" s="731"/>
      <c r="B25" s="731"/>
      <c r="C25" s="731"/>
      <c r="D25" s="731"/>
      <c r="E25" s="731"/>
      <c r="F25" s="733"/>
      <c r="G25" s="733"/>
      <c r="H25" s="733"/>
      <c r="I25" s="733"/>
      <c r="J25" s="733"/>
      <c r="K25" s="733"/>
      <c r="L25" s="733"/>
      <c r="M25" s="733"/>
      <c r="N25" s="733"/>
      <c r="O25" s="733"/>
      <c r="P25" s="733"/>
      <c r="Q25" s="733"/>
    </row>
    <row r="26" spans="1:17" ht="45.75" customHeight="1">
      <c r="A26" s="1246" t="s">
        <v>1360</v>
      </c>
      <c r="B26" s="1246"/>
      <c r="C26" s="1246"/>
      <c r="D26" s="1246"/>
      <c r="E26" s="1246"/>
    </row>
    <row r="27" spans="1:17" ht="11.25" customHeight="1">
      <c r="A27" s="313"/>
      <c r="B27" s="270"/>
      <c r="C27" s="270"/>
      <c r="D27" s="270"/>
      <c r="E27" s="270"/>
    </row>
    <row r="28" spans="1:17">
      <c r="A28" s="1352" t="s">
        <v>339</v>
      </c>
      <c r="B28" s="1352"/>
      <c r="C28" s="1352"/>
      <c r="D28" s="1352"/>
      <c r="E28" s="1352"/>
    </row>
    <row r="29" spans="1:17">
      <c r="A29" s="731"/>
      <c r="B29" s="731"/>
      <c r="C29" s="731"/>
      <c r="D29" s="731"/>
      <c r="E29" s="731"/>
      <c r="F29" s="733"/>
      <c r="G29" s="733"/>
      <c r="H29" s="733"/>
      <c r="I29" s="733"/>
      <c r="J29" s="733"/>
      <c r="K29" s="733"/>
      <c r="L29" s="733"/>
      <c r="M29" s="733"/>
      <c r="N29" s="733"/>
      <c r="O29" s="733"/>
      <c r="P29" s="733"/>
      <c r="Q29" s="733"/>
    </row>
    <row r="30" spans="1:17" ht="22.5" customHeight="1">
      <c r="A30" s="1246" t="s">
        <v>1275</v>
      </c>
      <c r="B30" s="1246"/>
      <c r="C30" s="1246"/>
      <c r="D30" s="1246"/>
      <c r="E30" s="1246"/>
    </row>
    <row r="31" spans="1:17">
      <c r="A31" s="601"/>
      <c r="B31" s="220"/>
      <c r="C31" s="300"/>
      <c r="D31" s="300"/>
      <c r="E31" s="300"/>
    </row>
    <row r="32" spans="1:17" ht="22.5" customHeight="1">
      <c r="A32" s="460" t="s">
        <v>700</v>
      </c>
      <c r="B32" s="494"/>
      <c r="C32" s="495"/>
      <c r="D32" s="495"/>
      <c r="E32" s="569" t="s">
        <v>941</v>
      </c>
    </row>
    <row r="33" spans="1:17">
      <c r="A33" s="1237" t="s">
        <v>1425</v>
      </c>
      <c r="B33" s="1237"/>
      <c r="C33" s="442"/>
      <c r="D33" s="442"/>
      <c r="E33" s="559">
        <v>-14</v>
      </c>
    </row>
    <row r="34" spans="1:17">
      <c r="A34" s="1224" t="s">
        <v>1099</v>
      </c>
      <c r="B34" s="1224"/>
      <c r="C34" s="464"/>
      <c r="D34" s="464"/>
      <c r="E34" s="560">
        <v>3</v>
      </c>
    </row>
    <row r="35" spans="1:17">
      <c r="A35" s="1241" t="s">
        <v>1426</v>
      </c>
      <c r="B35" s="1241"/>
      <c r="C35" s="442"/>
      <c r="D35" s="442"/>
      <c r="E35" s="559">
        <v>-10</v>
      </c>
    </row>
    <row r="36" spans="1:17">
      <c r="A36" s="1237" t="s">
        <v>894</v>
      </c>
      <c r="B36" s="1237"/>
      <c r="C36" s="442"/>
      <c r="D36" s="442"/>
      <c r="E36" s="559">
        <v>-6</v>
      </c>
    </row>
    <row r="37" spans="1:17">
      <c r="A37" s="1237" t="s">
        <v>345</v>
      </c>
      <c r="B37" s="1237"/>
      <c r="C37" s="442"/>
      <c r="D37" s="442"/>
      <c r="E37" s="559">
        <v>-17</v>
      </c>
    </row>
    <row r="38" spans="1:17">
      <c r="A38" s="1224" t="s">
        <v>1099</v>
      </c>
      <c r="B38" s="1224"/>
      <c r="C38" s="464"/>
      <c r="D38" s="464"/>
      <c r="E38" s="560">
        <v>3</v>
      </c>
    </row>
    <row r="39" spans="1:17">
      <c r="A39" s="1241" t="s">
        <v>1308</v>
      </c>
      <c r="B39" s="1241"/>
      <c r="C39" s="442"/>
      <c r="D39" s="442"/>
      <c r="E39" s="559">
        <v>-31</v>
      </c>
    </row>
    <row r="40" spans="1:17">
      <c r="A40" s="1237" t="s">
        <v>894</v>
      </c>
      <c r="B40" s="1237"/>
      <c r="C40" s="442"/>
      <c r="D40" s="442"/>
      <c r="E40" s="559">
        <v>16</v>
      </c>
    </row>
    <row r="41" spans="1:17">
      <c r="A41" s="1255" t="s">
        <v>345</v>
      </c>
      <c r="B41" s="1255"/>
      <c r="C41" s="433"/>
      <c r="D41" s="433"/>
      <c r="E41" s="560">
        <v>4</v>
      </c>
    </row>
    <row r="42" spans="1:17">
      <c r="A42" s="1290" t="s">
        <v>1427</v>
      </c>
      <c r="B42" s="1290"/>
      <c r="C42" s="452"/>
      <c r="D42" s="452"/>
      <c r="E42" s="725">
        <v>-11</v>
      </c>
    </row>
    <row r="44" spans="1:17" s="1172" customFormat="1">
      <c r="A44" s="1174"/>
      <c r="B44" s="229"/>
      <c r="C44" s="229"/>
      <c r="D44" s="229"/>
      <c r="E44" s="229"/>
    </row>
    <row r="45" spans="1:17">
      <c r="A45" s="1352" t="s">
        <v>964</v>
      </c>
      <c r="B45" s="1352"/>
      <c r="C45" s="1352"/>
      <c r="D45" s="1352"/>
      <c r="E45" s="1352"/>
    </row>
    <row r="46" spans="1:17">
      <c r="A46" s="731"/>
      <c r="B46" s="731"/>
      <c r="C46" s="731"/>
      <c r="D46" s="731"/>
      <c r="E46" s="731"/>
      <c r="F46" s="733"/>
      <c r="G46" s="733"/>
      <c r="H46" s="733"/>
      <c r="I46" s="733"/>
      <c r="J46" s="733"/>
      <c r="K46" s="733"/>
      <c r="L46" s="733"/>
      <c r="M46" s="733"/>
      <c r="N46" s="733"/>
      <c r="O46" s="733"/>
      <c r="P46" s="733"/>
      <c r="Q46" s="733"/>
    </row>
    <row r="47" spans="1:17" ht="34.5" customHeight="1">
      <c r="A47" s="1246" t="s">
        <v>1677</v>
      </c>
      <c r="B47" s="1246"/>
      <c r="C47" s="1246"/>
      <c r="D47" s="1246"/>
      <c r="E47" s="1246"/>
    </row>
    <row r="48" spans="1:17" ht="11.25" customHeight="1">
      <c r="A48" s="924"/>
      <c r="B48" s="924"/>
      <c r="C48" s="924"/>
      <c r="D48" s="924"/>
      <c r="E48" s="924"/>
    </row>
    <row r="49" spans="1:5">
      <c r="A49" s="1246" t="s">
        <v>1173</v>
      </c>
      <c r="B49" s="1246"/>
      <c r="C49" s="1246"/>
      <c r="D49" s="1246"/>
      <c r="E49" s="1246"/>
    </row>
    <row r="52" spans="1:5">
      <c r="C52" s="358"/>
    </row>
  </sheetData>
  <mergeCells count="25">
    <mergeCell ref="A49:E49"/>
    <mergeCell ref="A47:E47"/>
    <mergeCell ref="A24:E24"/>
    <mergeCell ref="A26:E26"/>
    <mergeCell ref="A14:E14"/>
    <mergeCell ref="A28:E28"/>
    <mergeCell ref="A33:B33"/>
    <mergeCell ref="A34:B34"/>
    <mergeCell ref="A35:B35"/>
    <mergeCell ref="A36:B36"/>
    <mergeCell ref="A37:B37"/>
    <mergeCell ref="A38:B38"/>
    <mergeCell ref="A39:B39"/>
    <mergeCell ref="A40:B40"/>
    <mergeCell ref="A41:B41"/>
    <mergeCell ref="A1:E1"/>
    <mergeCell ref="A5:E5"/>
    <mergeCell ref="A3:E3"/>
    <mergeCell ref="A30:E30"/>
    <mergeCell ref="A45:E45"/>
    <mergeCell ref="A42:B42"/>
    <mergeCell ref="A20:E20"/>
    <mergeCell ref="A22:E22"/>
    <mergeCell ref="A16:E16"/>
    <mergeCell ref="A18:E18"/>
  </mergeCells>
  <phoneticPr fontId="0" type="noConversion"/>
  <pageMargins left="0.75" right="0.75" top="1" bottom="1" header="0.5" footer="0.5"/>
  <pageSetup scale="87" orientation="portrait" horizontalDpi="300" r:id="rId1"/>
  <headerFooter alignWithMargins="0"/>
  <colBreaks count="1" manualBreakCount="1">
    <brk id="5" max="36" man="1"/>
  </colBreaks>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dimension ref="A1:Q32"/>
  <sheetViews>
    <sheetView zoomScaleNormal="100" workbookViewId="0">
      <selection sqref="A1:G1"/>
    </sheetView>
  </sheetViews>
  <sheetFormatPr defaultColWidth="8.6640625" defaultRowHeight="11.25"/>
  <cols>
    <col min="1" max="1" width="50" style="274" customWidth="1"/>
    <col min="2" max="7" width="13.33203125" style="229" customWidth="1"/>
    <col min="8" max="17" width="3.6640625" style="205" customWidth="1"/>
    <col min="18" max="16384" width="8.6640625" style="1151"/>
  </cols>
  <sheetData>
    <row r="1" spans="1:17" ht="15.75">
      <c r="A1" s="1252" t="s">
        <v>1517</v>
      </c>
      <c r="B1" s="1366"/>
      <c r="C1" s="1366"/>
      <c r="D1" s="1366"/>
      <c r="E1" s="1366"/>
      <c r="F1" s="1366"/>
      <c r="G1" s="1366"/>
    </row>
    <row r="2" spans="1:17" ht="11.25" customHeight="1">
      <c r="A2" s="357"/>
      <c r="B2" s="365"/>
      <c r="C2" s="365"/>
      <c r="D2" s="365"/>
      <c r="E2" s="365"/>
      <c r="F2" s="365"/>
      <c r="G2" s="365"/>
    </row>
    <row r="3" spans="1:17">
      <c r="A3" s="299">
        <v>2019</v>
      </c>
      <c r="B3" s="253"/>
      <c r="C3" s="253"/>
      <c r="D3" s="253"/>
      <c r="E3" s="253"/>
      <c r="F3" s="253"/>
      <c r="G3" s="253"/>
    </row>
    <row r="4" spans="1:17">
      <c r="A4" s="764"/>
      <c r="B4" s="253"/>
      <c r="C4" s="253"/>
      <c r="D4" s="253"/>
      <c r="E4" s="253"/>
      <c r="F4" s="253"/>
      <c r="G4" s="253"/>
      <c r="H4" s="763"/>
      <c r="I4" s="763"/>
      <c r="J4" s="763"/>
      <c r="K4" s="763"/>
      <c r="L4" s="763"/>
      <c r="M4" s="763"/>
      <c r="N4" s="763"/>
      <c r="O4" s="763"/>
      <c r="P4" s="763"/>
      <c r="Q4" s="763"/>
    </row>
    <row r="5" spans="1:17" ht="33.75" customHeight="1">
      <c r="A5" s="362" t="s">
        <v>700</v>
      </c>
      <c r="B5" s="573" t="s">
        <v>495</v>
      </c>
      <c r="C5" s="573" t="s">
        <v>958</v>
      </c>
      <c r="D5" s="573" t="s">
        <v>896</v>
      </c>
      <c r="E5" s="573" t="s">
        <v>1143</v>
      </c>
      <c r="F5" s="573" t="s">
        <v>897</v>
      </c>
      <c r="G5" s="573" t="s">
        <v>641</v>
      </c>
    </row>
    <row r="6" spans="1:17">
      <c r="A6" s="476" t="s">
        <v>1428</v>
      </c>
      <c r="B6" s="566">
        <v>21</v>
      </c>
      <c r="C6" s="566">
        <v>172</v>
      </c>
      <c r="D6" s="566">
        <v>67</v>
      </c>
      <c r="E6" s="566">
        <v>7</v>
      </c>
      <c r="F6" s="566">
        <v>38</v>
      </c>
      <c r="G6" s="566">
        <v>305</v>
      </c>
    </row>
    <row r="7" spans="1:17">
      <c r="A7" s="674" t="s">
        <v>791</v>
      </c>
      <c r="B7" s="566"/>
      <c r="C7" s="566"/>
      <c r="D7" s="566"/>
      <c r="E7" s="566"/>
      <c r="F7" s="566"/>
      <c r="G7" s="566">
        <v>1</v>
      </c>
    </row>
    <row r="8" spans="1:17">
      <c r="A8" s="476" t="s">
        <v>792</v>
      </c>
      <c r="B8" s="566">
        <v>4</v>
      </c>
      <c r="C8" s="566">
        <v>52</v>
      </c>
      <c r="D8" s="566">
        <v>100</v>
      </c>
      <c r="E8" s="566">
        <v>20</v>
      </c>
      <c r="F8" s="566">
        <v>14</v>
      </c>
      <c r="G8" s="566">
        <v>190</v>
      </c>
    </row>
    <row r="9" spans="1:17">
      <c r="A9" s="476" t="s">
        <v>496</v>
      </c>
      <c r="B9" s="566">
        <v>-14</v>
      </c>
      <c r="C9" s="566">
        <v>-51</v>
      </c>
      <c r="D9" s="566">
        <v>-71</v>
      </c>
      <c r="E9" s="566">
        <v>-13</v>
      </c>
      <c r="F9" s="566">
        <v>-9</v>
      </c>
      <c r="G9" s="566">
        <v>-159</v>
      </c>
    </row>
    <row r="10" spans="1:17">
      <c r="A10" s="456" t="s">
        <v>808</v>
      </c>
      <c r="B10" s="536">
        <v>-1</v>
      </c>
      <c r="C10" s="741"/>
      <c r="D10" s="741">
        <v>-7</v>
      </c>
      <c r="E10" s="536">
        <v>-2</v>
      </c>
      <c r="F10" s="536">
        <v>-5</v>
      </c>
      <c r="G10" s="536">
        <v>-14</v>
      </c>
    </row>
    <row r="11" spans="1:17">
      <c r="A11" s="461" t="s">
        <v>1429</v>
      </c>
      <c r="B11" s="537">
        <v>10</v>
      </c>
      <c r="C11" s="537">
        <v>174</v>
      </c>
      <c r="D11" s="537">
        <v>89</v>
      </c>
      <c r="E11" s="537">
        <v>13</v>
      </c>
      <c r="F11" s="567">
        <v>38</v>
      </c>
      <c r="G11" s="537">
        <v>323</v>
      </c>
    </row>
    <row r="12" spans="1:17">
      <c r="A12" s="498"/>
      <c r="B12" s="574"/>
      <c r="C12" s="574"/>
      <c r="D12" s="574"/>
      <c r="E12" s="574"/>
      <c r="F12" s="574"/>
      <c r="G12" s="574"/>
    </row>
    <row r="13" spans="1:17">
      <c r="A13" s="598" t="s">
        <v>433</v>
      </c>
      <c r="B13" s="565"/>
      <c r="C13" s="565"/>
      <c r="D13" s="565"/>
      <c r="E13" s="565"/>
      <c r="F13" s="565"/>
      <c r="G13" s="566">
        <v>45</v>
      </c>
    </row>
    <row r="14" spans="1:17">
      <c r="A14" s="598" t="s">
        <v>434</v>
      </c>
      <c r="B14" s="565"/>
      <c r="C14" s="565"/>
      <c r="D14" s="565"/>
      <c r="E14" s="565"/>
      <c r="F14" s="565"/>
      <c r="G14" s="566">
        <v>278</v>
      </c>
    </row>
    <row r="15" spans="1:17">
      <c r="A15" s="336"/>
      <c r="B15" s="250"/>
      <c r="C15" s="250"/>
      <c r="D15" s="250"/>
      <c r="E15" s="250"/>
      <c r="F15" s="250"/>
      <c r="G15" s="250"/>
    </row>
    <row r="16" spans="1:17" s="1172" customFormat="1">
      <c r="A16" s="1171"/>
      <c r="B16" s="250"/>
      <c r="C16" s="250"/>
      <c r="D16" s="250"/>
      <c r="E16" s="250"/>
      <c r="F16" s="250"/>
      <c r="G16" s="250"/>
    </row>
    <row r="17" spans="1:17">
      <c r="A17" s="299">
        <v>2018</v>
      </c>
      <c r="B17" s="220"/>
      <c r="C17" s="220"/>
      <c r="D17" s="220"/>
      <c r="E17" s="220"/>
      <c r="F17" s="220"/>
      <c r="G17" s="220"/>
    </row>
    <row r="18" spans="1:17">
      <c r="A18" s="764"/>
      <c r="B18" s="220"/>
      <c r="C18" s="220"/>
      <c r="D18" s="220"/>
      <c r="E18" s="220"/>
      <c r="F18" s="220"/>
      <c r="G18" s="220"/>
      <c r="H18" s="763"/>
      <c r="I18" s="763"/>
      <c r="J18" s="763"/>
      <c r="K18" s="763"/>
      <c r="L18" s="763"/>
      <c r="M18" s="763"/>
      <c r="N18" s="763"/>
      <c r="O18" s="763"/>
      <c r="P18" s="763"/>
      <c r="Q18" s="763"/>
    </row>
    <row r="19" spans="1:17" ht="33" customHeight="1">
      <c r="A19" s="362" t="s">
        <v>700</v>
      </c>
      <c r="B19" s="363" t="s">
        <v>495</v>
      </c>
      <c r="C19" s="363" t="s">
        <v>958</v>
      </c>
      <c r="D19" s="363" t="s">
        <v>896</v>
      </c>
      <c r="E19" s="363" t="s">
        <v>1143</v>
      </c>
      <c r="F19" s="363" t="s">
        <v>897</v>
      </c>
      <c r="G19" s="363" t="s">
        <v>641</v>
      </c>
    </row>
    <row r="20" spans="1:17">
      <c r="A20" s="476" t="s">
        <v>1287</v>
      </c>
      <c r="B20" s="442">
        <v>19</v>
      </c>
      <c r="C20" s="442">
        <v>173</v>
      </c>
      <c r="D20" s="442">
        <v>27</v>
      </c>
      <c r="E20" s="442">
        <v>6</v>
      </c>
      <c r="F20" s="442">
        <v>35</v>
      </c>
      <c r="G20" s="442">
        <v>261</v>
      </c>
    </row>
    <row r="21" spans="1:17">
      <c r="A21" s="801" t="s">
        <v>841</v>
      </c>
      <c r="B21" s="442"/>
      <c r="C21" s="442">
        <v>1</v>
      </c>
      <c r="D21" s="442">
        <v>1</v>
      </c>
      <c r="E21" s="442">
        <v>1</v>
      </c>
      <c r="F21" s="442"/>
      <c r="G21" s="442">
        <v>3</v>
      </c>
      <c r="H21" s="802"/>
      <c r="I21" s="802"/>
      <c r="J21" s="802"/>
      <c r="K21" s="802"/>
      <c r="L21" s="802"/>
      <c r="M21" s="802"/>
      <c r="N21" s="802"/>
      <c r="O21" s="802"/>
      <c r="P21" s="802"/>
      <c r="Q21" s="802"/>
    </row>
    <row r="22" spans="1:17" ht="11.25" customHeight="1">
      <c r="A22" s="476" t="s">
        <v>792</v>
      </c>
      <c r="B22" s="442">
        <v>12</v>
      </c>
      <c r="C22" s="442">
        <v>60</v>
      </c>
      <c r="D22" s="442">
        <v>107</v>
      </c>
      <c r="E22" s="442">
        <v>9</v>
      </c>
      <c r="F22" s="442">
        <v>11</v>
      </c>
      <c r="G22" s="442">
        <v>198</v>
      </c>
    </row>
    <row r="23" spans="1:17">
      <c r="A23" s="476" t="s">
        <v>496</v>
      </c>
      <c r="B23" s="442">
        <v>-2</v>
      </c>
      <c r="C23" s="442">
        <v>-62</v>
      </c>
      <c r="D23" s="442">
        <v>-64</v>
      </c>
      <c r="E23" s="442">
        <v>-6</v>
      </c>
      <c r="F23" s="442">
        <v>-5</v>
      </c>
      <c r="G23" s="442">
        <v>-138</v>
      </c>
    </row>
    <row r="24" spans="1:17">
      <c r="A24" s="456" t="s">
        <v>808</v>
      </c>
      <c r="B24" s="433">
        <v>-9</v>
      </c>
      <c r="C24" s="433"/>
      <c r="D24" s="433">
        <v>-5</v>
      </c>
      <c r="E24" s="433">
        <v>-4</v>
      </c>
      <c r="F24" s="433">
        <v>-4</v>
      </c>
      <c r="G24" s="433">
        <v>-21</v>
      </c>
    </row>
    <row r="25" spans="1:17">
      <c r="A25" s="461" t="s">
        <v>1288</v>
      </c>
      <c r="B25" s="452">
        <v>21</v>
      </c>
      <c r="C25" s="452">
        <v>172</v>
      </c>
      <c r="D25" s="452">
        <v>67</v>
      </c>
      <c r="E25" s="452">
        <v>7</v>
      </c>
      <c r="F25" s="452">
        <v>38</v>
      </c>
      <c r="G25" s="452">
        <v>305</v>
      </c>
    </row>
    <row r="26" spans="1:17">
      <c r="A26" s="498"/>
      <c r="B26" s="499"/>
      <c r="C26" s="499"/>
      <c r="D26" s="499"/>
      <c r="E26" s="499"/>
      <c r="F26" s="499"/>
      <c r="G26" s="499"/>
    </row>
    <row r="27" spans="1:17">
      <c r="A27" s="598" t="s">
        <v>433</v>
      </c>
      <c r="B27" s="439"/>
      <c r="C27" s="439"/>
      <c r="D27" s="439"/>
      <c r="E27" s="439"/>
      <c r="F27" s="439"/>
      <c r="G27" s="442">
        <v>54</v>
      </c>
    </row>
    <row r="28" spans="1:17">
      <c r="A28" s="598" t="s">
        <v>434</v>
      </c>
      <c r="B28" s="439"/>
      <c r="C28" s="439"/>
      <c r="D28" s="439"/>
      <c r="E28" s="439"/>
      <c r="F28" s="439"/>
      <c r="G28" s="442">
        <v>251</v>
      </c>
    </row>
    <row r="29" spans="1:17">
      <c r="A29" s="336"/>
      <c r="B29" s="250"/>
      <c r="C29" s="250"/>
      <c r="D29" s="250"/>
      <c r="E29" s="250"/>
      <c r="F29" s="250"/>
      <c r="G29" s="250"/>
    </row>
    <row r="30" spans="1:17" ht="22.5" customHeight="1">
      <c r="A30" s="1246" t="s">
        <v>1164</v>
      </c>
      <c r="B30" s="1246"/>
      <c r="C30" s="1246"/>
      <c r="D30" s="1246"/>
      <c r="E30" s="1246"/>
      <c r="F30" s="1246"/>
      <c r="G30" s="1246"/>
      <c r="H30" s="647"/>
      <c r="I30" s="647"/>
      <c r="J30" s="647"/>
      <c r="K30" s="647"/>
      <c r="L30" s="647"/>
      <c r="M30" s="647"/>
      <c r="N30" s="647"/>
      <c r="O30" s="647"/>
      <c r="P30" s="647"/>
      <c r="Q30" s="647"/>
    </row>
    <row r="31" spans="1:17">
      <c r="A31" s="646"/>
      <c r="B31" s="250"/>
      <c r="C31" s="250"/>
      <c r="D31" s="250"/>
      <c r="E31" s="250"/>
      <c r="F31" s="250"/>
      <c r="G31" s="250"/>
      <c r="H31" s="647"/>
      <c r="I31" s="647"/>
      <c r="J31" s="647"/>
      <c r="K31" s="647"/>
      <c r="L31" s="647"/>
      <c r="M31" s="647"/>
      <c r="N31" s="647"/>
      <c r="O31" s="647"/>
      <c r="P31" s="647"/>
      <c r="Q31" s="647"/>
    </row>
    <row r="32" spans="1:17" ht="57" customHeight="1">
      <c r="A32" s="1263" t="s">
        <v>1249</v>
      </c>
      <c r="B32" s="1263"/>
      <c r="C32" s="1263"/>
      <c r="D32" s="1263"/>
      <c r="E32" s="1263"/>
      <c r="F32" s="1263"/>
      <c r="G32" s="1263"/>
    </row>
  </sheetData>
  <mergeCells count="3">
    <mergeCell ref="A32:G32"/>
    <mergeCell ref="A1:G1"/>
    <mergeCell ref="A30:G30"/>
  </mergeCells>
  <phoneticPr fontId="0" type="noConversion"/>
  <pageMargins left="0.75" right="0.75" top="1" bottom="1" header="0.5" footer="0.5"/>
  <pageSetup paperSize="9"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dimension ref="A1:Q42"/>
  <sheetViews>
    <sheetView zoomScaleNormal="100" workbookViewId="0">
      <selection sqref="A1:F1"/>
    </sheetView>
  </sheetViews>
  <sheetFormatPr defaultColWidth="8.6640625" defaultRowHeight="11.25"/>
  <cols>
    <col min="1" max="1" width="63.33203125" style="274" customWidth="1"/>
    <col min="2" max="6" width="13.33203125" style="229" customWidth="1"/>
    <col min="7" max="17" width="3.6640625" style="205" customWidth="1"/>
    <col min="18" max="16384" width="8.6640625" style="1151"/>
  </cols>
  <sheetData>
    <row r="1" spans="1:17" ht="15.75">
      <c r="A1" s="1252" t="s">
        <v>1518</v>
      </c>
      <c r="B1" s="1366"/>
      <c r="C1" s="1366"/>
      <c r="D1" s="1366"/>
      <c r="E1" s="1366"/>
      <c r="F1" s="1366"/>
    </row>
    <row r="2" spans="1:17">
      <c r="A2" s="285"/>
      <c r="B2" s="281"/>
      <c r="C2" s="281"/>
      <c r="D2" s="281"/>
      <c r="E2" s="281"/>
      <c r="F2" s="281"/>
    </row>
    <row r="3" spans="1:17">
      <c r="A3" s="343">
        <v>2019</v>
      </c>
      <c r="B3" s="300"/>
      <c r="C3" s="300"/>
      <c r="D3" s="300"/>
      <c r="E3" s="300"/>
      <c r="F3" s="300"/>
    </row>
    <row r="4" spans="1:17">
      <c r="A4" s="1091"/>
      <c r="B4" s="582" t="s">
        <v>434</v>
      </c>
      <c r="C4" s="1092" t="s">
        <v>433</v>
      </c>
      <c r="D4" s="582"/>
      <c r="E4" s="1093"/>
      <c r="F4" s="1094"/>
    </row>
    <row r="5" spans="1:17" ht="11.25" customHeight="1">
      <c r="A5" s="362" t="s">
        <v>700</v>
      </c>
      <c r="B5" s="575" t="s">
        <v>817</v>
      </c>
      <c r="C5" s="575" t="s">
        <v>1624</v>
      </c>
      <c r="D5" s="575" t="s">
        <v>1625</v>
      </c>
      <c r="E5" s="575" t="s">
        <v>818</v>
      </c>
      <c r="F5" s="575" t="s">
        <v>641</v>
      </c>
    </row>
    <row r="6" spans="1:17">
      <c r="A6" s="476" t="s">
        <v>242</v>
      </c>
      <c r="B6" s="540">
        <v>56</v>
      </c>
      <c r="C6" s="540">
        <v>263</v>
      </c>
      <c r="D6" s="540">
        <v>258</v>
      </c>
      <c r="E6" s="540">
        <v>328</v>
      </c>
      <c r="F6" s="540">
        <v>906</v>
      </c>
    </row>
    <row r="7" spans="1:17">
      <c r="A7" s="1018" t="s">
        <v>1393</v>
      </c>
      <c r="B7" s="540">
        <v>48</v>
      </c>
      <c r="C7" s="540">
        <v>65</v>
      </c>
      <c r="D7" s="540">
        <v>37</v>
      </c>
      <c r="E7" s="540">
        <v>64</v>
      </c>
      <c r="F7" s="540">
        <v>215</v>
      </c>
      <c r="G7" s="1019"/>
      <c r="H7" s="1019"/>
      <c r="I7" s="1019"/>
      <c r="J7" s="1019"/>
      <c r="K7" s="1019"/>
      <c r="L7" s="1019"/>
      <c r="M7" s="1019"/>
      <c r="N7" s="1019"/>
      <c r="O7" s="1019"/>
      <c r="P7" s="1019"/>
      <c r="Q7" s="1019"/>
    </row>
    <row r="8" spans="1:17">
      <c r="A8" s="1107" t="s">
        <v>1084</v>
      </c>
      <c r="B8" s="540">
        <v>2</v>
      </c>
      <c r="C8" s="540"/>
      <c r="D8" s="540"/>
      <c r="E8" s="540"/>
      <c r="F8" s="540">
        <v>2</v>
      </c>
    </row>
    <row r="9" spans="1:17">
      <c r="A9" s="476" t="s">
        <v>344</v>
      </c>
      <c r="B9" s="540">
        <v>624</v>
      </c>
      <c r="C9" s="540"/>
      <c r="D9" s="540"/>
      <c r="E9" s="540"/>
      <c r="F9" s="540">
        <v>624</v>
      </c>
    </row>
    <row r="10" spans="1:17">
      <c r="A10" s="476" t="s">
        <v>1286</v>
      </c>
      <c r="B10" s="540">
        <v>7</v>
      </c>
      <c r="C10" s="540">
        <v>10</v>
      </c>
      <c r="D10" s="540">
        <v>5</v>
      </c>
      <c r="E10" s="540">
        <v>2</v>
      </c>
      <c r="F10" s="540">
        <v>23</v>
      </c>
    </row>
    <row r="11" spans="1:17">
      <c r="A11" s="470" t="s">
        <v>686</v>
      </c>
      <c r="B11" s="536">
        <v>4</v>
      </c>
      <c r="C11" s="536"/>
      <c r="D11" s="536"/>
      <c r="E11" s="536"/>
      <c r="F11" s="536">
        <v>4</v>
      </c>
    </row>
    <row r="12" spans="1:17">
      <c r="A12" s="459" t="s">
        <v>641</v>
      </c>
      <c r="B12" s="537">
        <v>741</v>
      </c>
      <c r="C12" s="537">
        <v>339</v>
      </c>
      <c r="D12" s="537">
        <v>301</v>
      </c>
      <c r="E12" s="537">
        <v>392</v>
      </c>
      <c r="F12" s="537">
        <v>1774</v>
      </c>
    </row>
    <row r="13" spans="1:17">
      <c r="A13" s="458"/>
      <c r="B13" s="565"/>
      <c r="C13" s="565"/>
      <c r="D13" s="565"/>
      <c r="E13" s="565"/>
      <c r="F13" s="565"/>
    </row>
    <row r="14" spans="1:17">
      <c r="A14" s="481" t="s">
        <v>491</v>
      </c>
      <c r="B14" s="536">
        <v>8</v>
      </c>
      <c r="C14" s="536">
        <v>12</v>
      </c>
      <c r="D14" s="536">
        <v>8</v>
      </c>
      <c r="E14" s="536">
        <v>3</v>
      </c>
      <c r="F14" s="536">
        <v>31</v>
      </c>
      <c r="G14" s="907"/>
      <c r="H14" s="907"/>
      <c r="I14" s="907"/>
      <c r="J14" s="907"/>
      <c r="K14" s="907"/>
      <c r="L14" s="907"/>
    </row>
    <row r="15" spans="1:17">
      <c r="A15" s="458" t="s">
        <v>898</v>
      </c>
      <c r="B15" s="540">
        <v>748</v>
      </c>
      <c r="C15" s="540">
        <v>351</v>
      </c>
      <c r="D15" s="540">
        <v>309</v>
      </c>
      <c r="E15" s="540">
        <v>395</v>
      </c>
      <c r="F15" s="540">
        <v>1804</v>
      </c>
    </row>
    <row r="16" spans="1:17">
      <c r="A16" s="330"/>
      <c r="B16" s="280"/>
      <c r="C16" s="280"/>
      <c r="D16" s="280"/>
      <c r="E16" s="280"/>
      <c r="F16" s="280"/>
    </row>
    <row r="17" spans="1:17" s="1172" customFormat="1">
      <c r="A17" s="395"/>
      <c r="B17" s="280"/>
      <c r="C17" s="280"/>
      <c r="D17" s="280"/>
      <c r="E17" s="280"/>
      <c r="F17" s="280"/>
    </row>
    <row r="18" spans="1:17">
      <c r="A18" s="343">
        <v>2018</v>
      </c>
      <c r="B18" s="300"/>
      <c r="C18" s="300"/>
      <c r="D18" s="300"/>
      <c r="E18" s="300"/>
      <c r="F18" s="300"/>
    </row>
    <row r="19" spans="1:17">
      <c r="A19" s="1091"/>
      <c r="B19" s="443" t="s">
        <v>434</v>
      </c>
      <c r="C19" s="1090" t="s">
        <v>433</v>
      </c>
      <c r="D19" s="443"/>
      <c r="E19" s="443"/>
      <c r="F19" s="437"/>
    </row>
    <row r="20" spans="1:17">
      <c r="A20" s="1089" t="s">
        <v>700</v>
      </c>
      <c r="B20" s="367" t="s">
        <v>817</v>
      </c>
      <c r="C20" s="367" t="s">
        <v>1624</v>
      </c>
      <c r="D20" s="367" t="s">
        <v>1625</v>
      </c>
      <c r="E20" s="367" t="s">
        <v>818</v>
      </c>
      <c r="F20" s="367" t="s">
        <v>641</v>
      </c>
    </row>
    <row r="21" spans="1:17">
      <c r="A21" s="476" t="s">
        <v>242</v>
      </c>
      <c r="B21" s="442">
        <v>63</v>
      </c>
      <c r="C21" s="442">
        <v>186</v>
      </c>
      <c r="D21" s="442">
        <v>311</v>
      </c>
      <c r="E21" s="442">
        <v>250</v>
      </c>
      <c r="F21" s="442">
        <v>809</v>
      </c>
    </row>
    <row r="22" spans="1:17">
      <c r="A22" s="1017" t="s">
        <v>929</v>
      </c>
      <c r="B22" s="442">
        <v>1</v>
      </c>
      <c r="C22" s="442">
        <v>2</v>
      </c>
      <c r="D22" s="442"/>
      <c r="E22" s="442"/>
      <c r="F22" s="442">
        <v>2</v>
      </c>
    </row>
    <row r="23" spans="1:17">
      <c r="A23" s="476" t="s">
        <v>1084</v>
      </c>
      <c r="B23" s="442">
        <v>11</v>
      </c>
      <c r="C23" s="442"/>
      <c r="D23" s="442"/>
      <c r="E23" s="442"/>
      <c r="F23" s="442">
        <v>11</v>
      </c>
    </row>
    <row r="24" spans="1:17">
      <c r="A24" s="476" t="s">
        <v>344</v>
      </c>
      <c r="B24" s="442">
        <v>596</v>
      </c>
      <c r="C24" s="442"/>
      <c r="D24" s="442"/>
      <c r="E24" s="442"/>
      <c r="F24" s="442">
        <v>596</v>
      </c>
    </row>
    <row r="25" spans="1:17">
      <c r="A25" s="476" t="s">
        <v>1286</v>
      </c>
      <c r="B25" s="442">
        <v>63</v>
      </c>
      <c r="C25" s="442">
        <v>12</v>
      </c>
      <c r="D25" s="442">
        <v>3</v>
      </c>
      <c r="E25" s="442"/>
      <c r="F25" s="442">
        <v>79</v>
      </c>
    </row>
    <row r="26" spans="1:17">
      <c r="A26" s="481" t="s">
        <v>686</v>
      </c>
      <c r="B26" s="433">
        <v>9</v>
      </c>
      <c r="C26" s="433"/>
      <c r="D26" s="433"/>
      <c r="E26" s="433"/>
      <c r="F26" s="433">
        <v>9</v>
      </c>
    </row>
    <row r="27" spans="1:17">
      <c r="A27" s="459" t="s">
        <v>641</v>
      </c>
      <c r="B27" s="452">
        <v>744</v>
      </c>
      <c r="C27" s="452">
        <v>199</v>
      </c>
      <c r="D27" s="452">
        <v>314</v>
      </c>
      <c r="E27" s="452">
        <v>250</v>
      </c>
      <c r="F27" s="452">
        <v>1507</v>
      </c>
    </row>
    <row r="28" spans="1:17">
      <c r="A28" s="458"/>
      <c r="B28" s="439"/>
      <c r="C28" s="439"/>
      <c r="D28" s="439"/>
      <c r="E28" s="439"/>
      <c r="F28" s="439"/>
    </row>
    <row r="29" spans="1:17">
      <c r="A29" s="481" t="s">
        <v>491</v>
      </c>
      <c r="B29" s="433">
        <v>8</v>
      </c>
      <c r="C29" s="433">
        <v>13</v>
      </c>
      <c r="D29" s="433">
        <v>11</v>
      </c>
      <c r="E29" s="433">
        <v>7</v>
      </c>
      <c r="F29" s="433">
        <v>39</v>
      </c>
    </row>
    <row r="30" spans="1:17">
      <c r="A30" s="458" t="s">
        <v>898</v>
      </c>
      <c r="B30" s="442">
        <v>752</v>
      </c>
      <c r="C30" s="442">
        <v>212</v>
      </c>
      <c r="D30" s="442">
        <v>326</v>
      </c>
      <c r="E30" s="442">
        <v>257</v>
      </c>
      <c r="F30" s="442">
        <v>1546</v>
      </c>
    </row>
    <row r="31" spans="1:17">
      <c r="A31" s="336"/>
      <c r="B31" s="220"/>
      <c r="C31" s="220"/>
      <c r="D31" s="220"/>
      <c r="E31" s="220"/>
      <c r="F31" s="220"/>
    </row>
    <row r="32" spans="1:17" ht="11.25" customHeight="1">
      <c r="A32" s="1271" t="s">
        <v>1573</v>
      </c>
      <c r="B32" s="1318"/>
      <c r="C32" s="1318"/>
      <c r="D32" s="1318"/>
      <c r="E32" s="1318"/>
      <c r="F32" s="1318"/>
      <c r="G32" s="759"/>
      <c r="H32" s="759"/>
      <c r="I32" s="759"/>
      <c r="J32" s="759"/>
      <c r="K32" s="759"/>
      <c r="L32" s="759"/>
      <c r="M32" s="759"/>
      <c r="N32" s="759"/>
      <c r="O32" s="759"/>
      <c r="P32" s="759"/>
      <c r="Q32" s="759"/>
    </row>
    <row r="33" spans="1:17">
      <c r="A33" s="755"/>
      <c r="B33" s="220"/>
      <c r="C33" s="220"/>
      <c r="D33" s="220"/>
      <c r="E33" s="220"/>
      <c r="F33" s="220"/>
      <c r="G33" s="759"/>
      <c r="H33" s="759"/>
      <c r="I33" s="759"/>
      <c r="J33" s="759"/>
      <c r="K33" s="759"/>
      <c r="L33" s="759"/>
      <c r="M33" s="759"/>
      <c r="N33" s="759"/>
      <c r="O33" s="759"/>
      <c r="P33" s="759"/>
      <c r="Q33" s="759"/>
    </row>
    <row r="34" spans="1:17" ht="23.25" customHeight="1">
      <c r="A34" s="1271" t="s">
        <v>1673</v>
      </c>
      <c r="B34" s="1318"/>
      <c r="C34" s="1318"/>
      <c r="D34" s="1318"/>
      <c r="E34" s="1318"/>
      <c r="F34" s="1318"/>
    </row>
    <row r="39" spans="1:17">
      <c r="C39" s="366"/>
    </row>
    <row r="40" spans="1:17">
      <c r="A40" s="320"/>
      <c r="C40" s="312"/>
    </row>
    <row r="42" spans="1:17">
      <c r="A42" s="320"/>
    </row>
  </sheetData>
  <mergeCells count="3">
    <mergeCell ref="A34:F34"/>
    <mergeCell ref="A1:F1"/>
    <mergeCell ref="A32:F32"/>
  </mergeCells>
  <phoneticPr fontId="0" type="noConversion"/>
  <pageMargins left="0.75" right="0.75" top="1" bottom="1" header="0.5" footer="0.5"/>
  <pageSetup paperSize="9" scale="84" orientation="portrait"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dimension ref="A1:Q16"/>
  <sheetViews>
    <sheetView zoomScaleNormal="100" workbookViewId="0">
      <selection sqref="A1:C1"/>
    </sheetView>
  </sheetViews>
  <sheetFormatPr defaultColWidth="8.6640625" defaultRowHeight="11.25"/>
  <cols>
    <col min="1" max="1" width="90" style="274" customWidth="1"/>
    <col min="2" max="3" width="20" style="229" customWidth="1"/>
    <col min="4" max="17" width="3.6640625" style="205" customWidth="1"/>
    <col min="18" max="16384" width="8.6640625" style="1151"/>
  </cols>
  <sheetData>
    <row r="1" spans="1:17" ht="15.75">
      <c r="A1" s="1248" t="s">
        <v>1519</v>
      </c>
      <c r="B1" s="1403"/>
      <c r="C1" s="1403"/>
    </row>
    <row r="2" spans="1:17" ht="11.25" customHeight="1">
      <c r="A2" s="761"/>
      <c r="B2" s="326"/>
      <c r="C2" s="437"/>
      <c r="D2" s="763"/>
      <c r="E2" s="763"/>
      <c r="F2" s="763"/>
      <c r="G2" s="763"/>
      <c r="H2" s="763"/>
      <c r="I2" s="763"/>
      <c r="J2" s="763"/>
      <c r="K2" s="763"/>
      <c r="L2" s="763"/>
      <c r="M2" s="763"/>
      <c r="N2" s="763"/>
      <c r="O2" s="763"/>
      <c r="P2" s="763"/>
      <c r="Q2" s="763"/>
    </row>
    <row r="3" spans="1:17">
      <c r="A3" s="362" t="s">
        <v>700</v>
      </c>
      <c r="B3" s="576">
        <v>2019</v>
      </c>
      <c r="C3" s="370">
        <v>2018</v>
      </c>
    </row>
    <row r="4" spans="1:17">
      <c r="A4" s="476" t="s">
        <v>1385</v>
      </c>
      <c r="B4" s="540">
        <v>320</v>
      </c>
      <c r="C4" s="442">
        <v>295</v>
      </c>
    </row>
    <row r="5" spans="1:17">
      <c r="A5" s="476" t="s">
        <v>193</v>
      </c>
      <c r="B5" s="540">
        <v>125</v>
      </c>
      <c r="C5" s="442">
        <v>124</v>
      </c>
    </row>
    <row r="6" spans="1:17">
      <c r="A6" s="476" t="s">
        <v>51</v>
      </c>
      <c r="B6" s="540">
        <v>23</v>
      </c>
      <c r="C6" s="442">
        <v>79</v>
      </c>
    </row>
    <row r="7" spans="1:17">
      <c r="A7" s="476" t="s">
        <v>510</v>
      </c>
      <c r="B7" s="540">
        <v>4</v>
      </c>
      <c r="C7" s="442">
        <v>9</v>
      </c>
    </row>
    <row r="8" spans="1:17">
      <c r="A8" s="1097" t="s">
        <v>431</v>
      </c>
      <c r="B8" s="540">
        <v>41</v>
      </c>
      <c r="C8" s="442">
        <v>45</v>
      </c>
    </row>
    <row r="9" spans="1:17">
      <c r="A9" s="476" t="s">
        <v>331</v>
      </c>
      <c r="B9" s="540">
        <v>39</v>
      </c>
      <c r="C9" s="442">
        <v>26</v>
      </c>
    </row>
    <row r="10" spans="1:17">
      <c r="A10" s="1098" t="s">
        <v>582</v>
      </c>
      <c r="B10" s="536">
        <v>70</v>
      </c>
      <c r="C10" s="433">
        <v>67</v>
      </c>
    </row>
    <row r="11" spans="1:17">
      <c r="A11" s="459" t="s">
        <v>641</v>
      </c>
      <c r="B11" s="537">
        <v>623</v>
      </c>
      <c r="C11" s="452">
        <v>645</v>
      </c>
    </row>
    <row r="12" spans="1:17">
      <c r="A12" s="458"/>
      <c r="B12" s="543"/>
      <c r="C12" s="439"/>
    </row>
    <row r="13" spans="1:17">
      <c r="A13" s="598" t="s">
        <v>433</v>
      </c>
      <c r="B13" s="540">
        <v>1</v>
      </c>
      <c r="C13" s="442">
        <v>1</v>
      </c>
    </row>
    <row r="14" spans="1:17">
      <c r="A14" s="598" t="s">
        <v>434</v>
      </c>
      <c r="B14" s="540">
        <v>622</v>
      </c>
      <c r="C14" s="442">
        <v>645</v>
      </c>
    </row>
    <row r="15" spans="1:17" ht="15">
      <c r="A15" s="368"/>
      <c r="B15" s="354"/>
      <c r="C15" s="369"/>
    </row>
    <row r="16" spans="1:17" ht="15">
      <c r="A16" s="368"/>
      <c r="B16" s="369"/>
      <c r="C16" s="369"/>
    </row>
  </sheetData>
  <mergeCells count="1">
    <mergeCell ref="A1:C1"/>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dimension ref="A1:Q45"/>
  <sheetViews>
    <sheetView zoomScaleNormal="100" workbookViewId="0">
      <selection sqref="A1:F1"/>
    </sheetView>
  </sheetViews>
  <sheetFormatPr defaultColWidth="8.6640625" defaultRowHeight="11.25"/>
  <cols>
    <col min="1" max="1" width="2.5" style="274" customWidth="1"/>
    <col min="2" max="2" width="67.5" style="274" customWidth="1"/>
    <col min="3" max="6" width="15" style="229" customWidth="1"/>
    <col min="7" max="17" width="3.6640625" style="205" customWidth="1"/>
    <col min="18" max="16384" width="8.6640625" style="1151"/>
  </cols>
  <sheetData>
    <row r="1" spans="1:17" ht="15.75">
      <c r="A1" s="1244" t="s">
        <v>1508</v>
      </c>
      <c r="B1" s="1312"/>
      <c r="C1" s="1312"/>
      <c r="D1" s="1312"/>
      <c r="E1" s="1312"/>
      <c r="F1" s="1312"/>
    </row>
    <row r="2" spans="1:17" ht="11.25" customHeight="1">
      <c r="A2" s="207"/>
      <c r="B2" s="207"/>
      <c r="C2" s="207"/>
      <c r="D2" s="207"/>
      <c r="E2" s="207"/>
      <c r="F2" s="207"/>
    </row>
    <row r="3" spans="1:17" ht="11.25" customHeight="1">
      <c r="A3" s="1404" t="s">
        <v>1572</v>
      </c>
      <c r="B3" s="1405"/>
      <c r="C3" s="1405"/>
      <c r="D3" s="1405"/>
      <c r="E3" s="1405"/>
      <c r="F3" s="1405"/>
    </row>
    <row r="4" spans="1:17" ht="11.25" customHeight="1">
      <c r="A4" s="371"/>
      <c r="B4" s="207"/>
      <c r="C4" s="686"/>
      <c r="D4" s="686"/>
      <c r="E4" s="686"/>
      <c r="F4" s="686"/>
    </row>
    <row r="5" spans="1:17" ht="22.5" customHeight="1">
      <c r="A5" s="1406" t="s">
        <v>700</v>
      </c>
      <c r="B5" s="1406"/>
      <c r="C5" s="577">
        <v>2019</v>
      </c>
      <c r="D5" s="573" t="s">
        <v>942</v>
      </c>
      <c r="E5" s="373">
        <v>2018</v>
      </c>
      <c r="F5" s="363" t="s">
        <v>942</v>
      </c>
    </row>
    <row r="6" spans="1:17" ht="11.25" customHeight="1">
      <c r="A6" s="1241" t="s">
        <v>515</v>
      </c>
      <c r="B6" s="1237"/>
      <c r="C6" s="540"/>
      <c r="D6" s="540"/>
      <c r="E6" s="442"/>
      <c r="F6" s="442"/>
    </row>
    <row r="7" spans="1:17" ht="11.25" customHeight="1">
      <c r="A7" s="1237" t="s">
        <v>204</v>
      </c>
      <c r="B7" s="1237"/>
      <c r="C7" s="540">
        <v>400</v>
      </c>
      <c r="D7" s="540"/>
      <c r="E7" s="442">
        <v>270</v>
      </c>
      <c r="F7" s="442"/>
    </row>
    <row r="8" spans="1:17" ht="11.25" customHeight="1">
      <c r="A8" s="1237" t="s">
        <v>1144</v>
      </c>
      <c r="B8" s="1237"/>
      <c r="C8" s="540">
        <v>246</v>
      </c>
      <c r="D8" s="540"/>
      <c r="E8" s="442">
        <v>238</v>
      </c>
      <c r="F8" s="442"/>
      <c r="G8" s="647"/>
      <c r="H8" s="647"/>
      <c r="I8" s="647"/>
      <c r="J8" s="647"/>
      <c r="K8" s="647"/>
      <c r="L8" s="647"/>
      <c r="M8" s="647"/>
      <c r="N8" s="647"/>
      <c r="O8" s="647"/>
      <c r="P8" s="647"/>
      <c r="Q8" s="647"/>
    </row>
    <row r="9" spans="1:17" ht="11.25" customHeight="1">
      <c r="A9" s="1237" t="s">
        <v>1198</v>
      </c>
      <c r="B9" s="1237"/>
      <c r="C9" s="540">
        <v>1769</v>
      </c>
      <c r="D9" s="540">
        <v>873</v>
      </c>
      <c r="E9" s="442">
        <v>1227</v>
      </c>
      <c r="F9" s="442">
        <v>314</v>
      </c>
    </row>
    <row r="10" spans="1:17" ht="11.25" customHeight="1">
      <c r="A10" s="1255" t="s">
        <v>1199</v>
      </c>
      <c r="B10" s="1255"/>
      <c r="C10" s="536">
        <v>597</v>
      </c>
      <c r="D10" s="536">
        <v>213</v>
      </c>
      <c r="E10" s="433">
        <v>1600</v>
      </c>
      <c r="F10" s="433">
        <v>721</v>
      </c>
      <c r="G10" s="694"/>
      <c r="H10" s="694"/>
      <c r="I10" s="694"/>
      <c r="J10" s="694"/>
      <c r="K10" s="694"/>
      <c r="L10" s="694"/>
      <c r="M10" s="694"/>
      <c r="N10" s="694"/>
      <c r="O10" s="694"/>
      <c r="P10" s="694"/>
      <c r="Q10" s="694"/>
    </row>
    <row r="11" spans="1:17" ht="11.25" customHeight="1">
      <c r="A11" s="1290" t="s">
        <v>641</v>
      </c>
      <c r="B11" s="1367"/>
      <c r="C11" s="537">
        <v>3012</v>
      </c>
      <c r="D11" s="537">
        <v>1086</v>
      </c>
      <c r="E11" s="452">
        <v>3335</v>
      </c>
      <c r="F11" s="452">
        <v>1035</v>
      </c>
    </row>
    <row r="12" spans="1:17" ht="11.25" customHeight="1">
      <c r="A12" s="940"/>
      <c r="B12" s="940"/>
      <c r="C12" s="578"/>
      <c r="D12" s="578"/>
      <c r="E12" s="471"/>
      <c r="F12" s="471"/>
    </row>
    <row r="13" spans="1:17" ht="11.25" customHeight="1">
      <c r="A13" s="1233" t="s">
        <v>621</v>
      </c>
      <c r="B13" s="1223"/>
      <c r="C13" s="578"/>
      <c r="D13" s="578"/>
      <c r="E13" s="471"/>
      <c r="F13" s="471"/>
    </row>
    <row r="14" spans="1:17" ht="11.25" customHeight="1">
      <c r="A14" s="1223" t="s">
        <v>204</v>
      </c>
      <c r="B14" s="1223"/>
      <c r="C14" s="540">
        <v>-7</v>
      </c>
      <c r="D14" s="578"/>
      <c r="E14" s="442">
        <v>-4</v>
      </c>
      <c r="F14" s="471"/>
    </row>
    <row r="15" spans="1:17" ht="11.25" customHeight="1">
      <c r="A15" s="1237" t="s">
        <v>1144</v>
      </c>
      <c r="B15" s="1237"/>
      <c r="C15" s="540">
        <v>-4</v>
      </c>
      <c r="D15" s="578"/>
      <c r="E15" s="442">
        <v>-8</v>
      </c>
      <c r="F15" s="471"/>
      <c r="G15" s="647"/>
      <c r="H15" s="647"/>
      <c r="I15" s="647"/>
      <c r="J15" s="647"/>
      <c r="K15" s="647"/>
      <c r="L15" s="647"/>
      <c r="M15" s="647"/>
      <c r="N15" s="647"/>
      <c r="O15" s="647"/>
      <c r="P15" s="647"/>
      <c r="Q15" s="647"/>
    </row>
    <row r="16" spans="1:17" ht="11.25" customHeight="1">
      <c r="A16" s="1223" t="s">
        <v>1198</v>
      </c>
      <c r="B16" s="1223"/>
      <c r="C16" s="540">
        <v>8</v>
      </c>
      <c r="D16" s="578"/>
      <c r="E16" s="442">
        <v>-22</v>
      </c>
      <c r="F16" s="471"/>
    </row>
    <row r="17" spans="1:17" ht="11.25" customHeight="1">
      <c r="A17" s="1224" t="s">
        <v>1199</v>
      </c>
      <c r="B17" s="1224"/>
      <c r="C17" s="536">
        <v>4</v>
      </c>
      <c r="D17" s="579"/>
      <c r="E17" s="433">
        <v>-33</v>
      </c>
      <c r="F17" s="501"/>
      <c r="G17" s="694"/>
      <c r="H17" s="694"/>
      <c r="I17" s="694"/>
      <c r="J17" s="694"/>
      <c r="K17" s="694"/>
      <c r="L17" s="694"/>
      <c r="M17" s="694"/>
      <c r="N17" s="694"/>
      <c r="O17" s="694"/>
      <c r="P17" s="694"/>
      <c r="Q17" s="694"/>
    </row>
    <row r="18" spans="1:17" ht="11.25" customHeight="1">
      <c r="A18" s="1266" t="s">
        <v>641</v>
      </c>
      <c r="B18" s="1407"/>
      <c r="C18" s="537"/>
      <c r="D18" s="580"/>
      <c r="E18" s="452">
        <v>-67</v>
      </c>
      <c r="F18" s="454"/>
    </row>
    <row r="19" spans="1:17" ht="11.25" customHeight="1">
      <c r="A19" s="207"/>
      <c r="B19" s="207"/>
      <c r="C19" s="207"/>
      <c r="D19" s="207"/>
      <c r="E19" s="207"/>
      <c r="F19" s="207"/>
    </row>
    <row r="20" spans="1:17" ht="11.25" customHeight="1">
      <c r="A20" s="1299" t="s">
        <v>1579</v>
      </c>
      <c r="B20" s="1299"/>
      <c r="C20" s="1246"/>
      <c r="D20" s="1246"/>
      <c r="E20" s="1246"/>
      <c r="F20" s="1246"/>
      <c r="G20" s="694"/>
      <c r="H20" s="694"/>
      <c r="I20" s="694"/>
      <c r="J20" s="694"/>
      <c r="K20" s="694"/>
      <c r="L20" s="694"/>
      <c r="M20" s="694"/>
      <c r="N20" s="694"/>
      <c r="O20" s="694"/>
      <c r="P20" s="694"/>
      <c r="Q20" s="694"/>
    </row>
    <row r="21" spans="1:17" ht="11.25" customHeight="1">
      <c r="A21" s="693"/>
      <c r="B21" s="693"/>
      <c r="C21" s="693"/>
      <c r="D21" s="693"/>
      <c r="E21" s="693"/>
      <c r="F21" s="693"/>
      <c r="G21" s="694"/>
      <c r="H21" s="694"/>
      <c r="I21" s="694"/>
      <c r="J21" s="694"/>
      <c r="K21" s="694"/>
      <c r="L21" s="694"/>
      <c r="M21" s="694"/>
      <c r="N21" s="694"/>
      <c r="O21" s="694"/>
      <c r="P21" s="694"/>
      <c r="Q21" s="694"/>
    </row>
    <row r="22" spans="1:17" ht="33.75" customHeight="1">
      <c r="A22" s="1299" t="s">
        <v>1580</v>
      </c>
      <c r="B22" s="1299"/>
      <c r="C22" s="1246"/>
      <c r="D22" s="1246"/>
      <c r="E22" s="1246"/>
      <c r="F22" s="1246"/>
    </row>
    <row r="23" spans="1:17">
      <c r="A23" s="371"/>
      <c r="B23" s="207"/>
      <c r="C23" s="207"/>
      <c r="D23" s="207"/>
      <c r="E23" s="207"/>
      <c r="F23" s="207"/>
    </row>
    <row r="24" spans="1:17" ht="45" customHeight="1">
      <c r="A24" s="1299" t="s">
        <v>1174</v>
      </c>
      <c r="B24" s="1299"/>
      <c r="C24" s="1299"/>
      <c r="D24" s="1299"/>
      <c r="E24" s="1299"/>
      <c r="F24" s="1299"/>
    </row>
    <row r="25" spans="1:17">
      <c r="A25" s="371"/>
      <c r="B25" s="207"/>
      <c r="C25" s="207"/>
      <c r="D25" s="207"/>
      <c r="E25" s="207"/>
      <c r="F25" s="207"/>
    </row>
    <row r="26" spans="1:17">
      <c r="A26" s="1269" t="s">
        <v>700</v>
      </c>
      <c r="B26" s="1343"/>
      <c r="C26" s="502"/>
      <c r="D26" s="502"/>
      <c r="E26" s="581">
        <v>2019</v>
      </c>
      <c r="F26" s="503">
        <v>2018</v>
      </c>
    </row>
    <row r="27" spans="1:17">
      <c r="A27" s="1241" t="s">
        <v>1021</v>
      </c>
      <c r="B27" s="1241"/>
      <c r="C27" s="471"/>
      <c r="D27" s="471"/>
      <c r="E27" s="980"/>
      <c r="F27" s="981"/>
    </row>
    <row r="28" spans="1:17">
      <c r="A28" s="940"/>
      <c r="B28" s="940"/>
      <c r="C28" s="471"/>
      <c r="D28" s="471"/>
      <c r="E28" s="980"/>
      <c r="F28" s="981"/>
    </row>
    <row r="29" spans="1:17">
      <c r="A29" s="1241" t="s">
        <v>534</v>
      </c>
      <c r="B29" s="1241"/>
      <c r="C29" s="471"/>
      <c r="D29" s="471"/>
      <c r="E29" s="982"/>
      <c r="F29" s="983"/>
    </row>
    <row r="30" spans="1:17">
      <c r="A30" s="1281" t="s">
        <v>1144</v>
      </c>
      <c r="B30" s="1281"/>
      <c r="C30" s="471"/>
      <c r="D30" s="471"/>
      <c r="E30" s="727">
        <v>5</v>
      </c>
      <c r="F30" s="968">
        <v>3</v>
      </c>
      <c r="G30" s="796"/>
      <c r="H30" s="796"/>
      <c r="I30" s="796"/>
      <c r="J30" s="796"/>
      <c r="K30" s="796"/>
      <c r="L30" s="796"/>
      <c r="M30" s="796"/>
      <c r="N30" s="796"/>
      <c r="O30" s="796"/>
      <c r="P30" s="796"/>
      <c r="Q30" s="796"/>
    </row>
    <row r="31" spans="1:17">
      <c r="A31" s="1255" t="s">
        <v>511</v>
      </c>
      <c r="B31" s="1255"/>
      <c r="C31" s="501"/>
      <c r="D31" s="501"/>
      <c r="E31" s="969">
        <v>18</v>
      </c>
      <c r="F31" s="482">
        <v>8</v>
      </c>
    </row>
    <row r="32" spans="1:17">
      <c r="A32" s="1290" t="s">
        <v>641</v>
      </c>
      <c r="B32" s="1290"/>
      <c r="C32" s="454"/>
      <c r="D32" s="454"/>
      <c r="E32" s="1095">
        <v>24</v>
      </c>
      <c r="F32" s="970">
        <v>12</v>
      </c>
    </row>
    <row r="33" spans="1:17">
      <c r="A33" s="940"/>
      <c r="B33" s="940"/>
      <c r="C33" s="471"/>
      <c r="D33" s="471"/>
      <c r="E33" s="982"/>
      <c r="F33" s="983"/>
    </row>
    <row r="34" spans="1:17">
      <c r="A34" s="1241" t="s">
        <v>356</v>
      </c>
      <c r="B34" s="1241"/>
      <c r="C34" s="471"/>
      <c r="D34" s="471"/>
      <c r="E34" s="982"/>
      <c r="F34" s="983"/>
    </row>
    <row r="35" spans="1:17">
      <c r="A35" s="1281" t="s">
        <v>204</v>
      </c>
      <c r="B35" s="1281"/>
      <c r="C35" s="471"/>
      <c r="D35" s="471"/>
      <c r="E35" s="1096">
        <v>-7</v>
      </c>
      <c r="F35" s="983">
        <v>-4</v>
      </c>
    </row>
    <row r="36" spans="1:17">
      <c r="A36" s="1281" t="s">
        <v>1144</v>
      </c>
      <c r="B36" s="1281"/>
      <c r="C36" s="471"/>
      <c r="D36" s="471"/>
      <c r="E36" s="1096">
        <v>-9</v>
      </c>
      <c r="F36" s="983">
        <v>-11</v>
      </c>
      <c r="G36" s="796"/>
      <c r="H36" s="796"/>
      <c r="I36" s="796"/>
      <c r="J36" s="796"/>
      <c r="K36" s="796"/>
      <c r="L36" s="796"/>
      <c r="M36" s="796"/>
      <c r="N36" s="796"/>
      <c r="O36" s="796"/>
      <c r="P36" s="796"/>
      <c r="Q36" s="796"/>
    </row>
    <row r="37" spans="1:17">
      <c r="A37" s="1255" t="s">
        <v>511</v>
      </c>
      <c r="B37" s="1255"/>
      <c r="C37" s="501"/>
      <c r="D37" s="501"/>
      <c r="E37" s="969">
        <v>-7</v>
      </c>
      <c r="F37" s="482">
        <v>-63</v>
      </c>
    </row>
    <row r="38" spans="1:17">
      <c r="A38" s="1290" t="s">
        <v>641</v>
      </c>
      <c r="B38" s="1290"/>
      <c r="C38" s="454"/>
      <c r="D38" s="454"/>
      <c r="E38" s="1095">
        <v>-23</v>
      </c>
      <c r="F38" s="970">
        <v>-79</v>
      </c>
    </row>
    <row r="39" spans="1:17">
      <c r="A39" s="940"/>
      <c r="B39" s="940"/>
      <c r="C39" s="471"/>
      <c r="D39" s="471"/>
      <c r="E39" s="982"/>
      <c r="F39" s="983"/>
    </row>
    <row r="40" spans="1:17">
      <c r="A40" s="1241" t="s">
        <v>1022</v>
      </c>
      <c r="B40" s="1241"/>
      <c r="C40" s="471"/>
      <c r="D40" s="471"/>
      <c r="E40" s="982"/>
      <c r="F40" s="983"/>
    </row>
    <row r="41" spans="1:17">
      <c r="A41" s="1237" t="s">
        <v>534</v>
      </c>
      <c r="B41" s="1237"/>
      <c r="C41" s="471"/>
      <c r="D41" s="471"/>
      <c r="E41" s="727">
        <v>8</v>
      </c>
      <c r="F41" s="968"/>
    </row>
    <row r="42" spans="1:17">
      <c r="A42" s="1255" t="s">
        <v>356</v>
      </c>
      <c r="B42" s="1255"/>
      <c r="C42" s="501"/>
      <c r="D42" s="501"/>
      <c r="E42" s="969">
        <v>-8</v>
      </c>
      <c r="F42" s="482">
        <v>-67</v>
      </c>
    </row>
    <row r="43" spans="1:17">
      <c r="A43" s="1290" t="s">
        <v>641</v>
      </c>
      <c r="B43" s="1290"/>
      <c r="C43" s="454"/>
      <c r="D43" s="454"/>
      <c r="E43" s="1095"/>
      <c r="F43" s="970">
        <v>-67</v>
      </c>
    </row>
    <row r="44" spans="1:17">
      <c r="A44" s="857"/>
      <c r="B44" s="857"/>
      <c r="C44" s="207"/>
      <c r="D44" s="207"/>
      <c r="E44" s="207"/>
      <c r="F44" s="207"/>
    </row>
    <row r="45" spans="1:17">
      <c r="A45" s="207"/>
      <c r="B45" s="207"/>
      <c r="C45" s="207"/>
      <c r="D45" s="207"/>
      <c r="E45" s="207"/>
      <c r="F45" s="207"/>
    </row>
  </sheetData>
  <mergeCells count="33">
    <mergeCell ref="A20:F20"/>
    <mergeCell ref="A17:B17"/>
    <mergeCell ref="A10:B10"/>
    <mergeCell ref="A35:B35"/>
    <mergeCell ref="A31:B31"/>
    <mergeCell ref="A24:F24"/>
    <mergeCell ref="A29:B29"/>
    <mergeCell ref="A27:B27"/>
    <mergeCell ref="A26:B26"/>
    <mergeCell ref="A18:B18"/>
    <mergeCell ref="A16:B16"/>
    <mergeCell ref="A15:B15"/>
    <mergeCell ref="A22:F22"/>
    <mergeCell ref="A43:B43"/>
    <mergeCell ref="A42:B42"/>
    <mergeCell ref="A41:B41"/>
    <mergeCell ref="A40:B40"/>
    <mergeCell ref="A38:B38"/>
    <mergeCell ref="A37:B37"/>
    <mergeCell ref="A34:B34"/>
    <mergeCell ref="A32:B32"/>
    <mergeCell ref="A36:B36"/>
    <mergeCell ref="A30:B30"/>
    <mergeCell ref="A8:B8"/>
    <mergeCell ref="A9:B9"/>
    <mergeCell ref="A14:B14"/>
    <mergeCell ref="A11:B11"/>
    <mergeCell ref="A13:B13"/>
    <mergeCell ref="A1:F1"/>
    <mergeCell ref="A3:F3"/>
    <mergeCell ref="A6:B6"/>
    <mergeCell ref="A7:B7"/>
    <mergeCell ref="A5:B5"/>
  </mergeCells>
  <phoneticPr fontId="0" type="noConversion"/>
  <pageMargins left="0.75" right="0.75" top="1" bottom="1" header="0.5" footer="0.5"/>
  <pageSetup scale="83" orientation="portrait" horizontalDpi="300" r:id="rId1"/>
  <headerFooter alignWithMargins="0"/>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dimension ref="A1:Q37"/>
  <sheetViews>
    <sheetView zoomScaleNormal="100" workbookViewId="0">
      <selection sqref="A1:F1"/>
    </sheetView>
  </sheetViews>
  <sheetFormatPr defaultColWidth="8.6640625" defaultRowHeight="11.25"/>
  <cols>
    <col min="1" max="1" width="2.5" style="274" customWidth="1"/>
    <col min="2" max="2" width="67.5" style="274" customWidth="1"/>
    <col min="3" max="6" width="15" style="229" customWidth="1"/>
    <col min="7" max="17" width="3.6640625" style="1023" customWidth="1"/>
    <col min="18" max="16384" width="8.6640625" style="1151"/>
  </cols>
  <sheetData>
    <row r="1" spans="1:6" ht="16.5" customHeight="1">
      <c r="A1" s="1408" t="s">
        <v>1507</v>
      </c>
      <c r="B1" s="1409"/>
      <c r="C1" s="1409"/>
      <c r="D1" s="1409"/>
      <c r="E1" s="1409"/>
      <c r="F1" s="1409"/>
    </row>
    <row r="2" spans="1:6">
      <c r="A2" s="527"/>
      <c r="B2" s="374"/>
      <c r="C2" s="234"/>
      <c r="D2" s="234"/>
      <c r="E2" s="234"/>
      <c r="F2" s="234"/>
    </row>
    <row r="3" spans="1:6" ht="11.25" customHeight="1">
      <c r="A3" s="524"/>
      <c r="B3" s="524"/>
      <c r="C3" s="568"/>
      <c r="D3" s="547">
        <v>2019</v>
      </c>
      <c r="E3" s="521"/>
      <c r="F3" s="397">
        <v>2018</v>
      </c>
    </row>
    <row r="4" spans="1:6" ht="45" customHeight="1">
      <c r="A4" s="1269" t="s">
        <v>700</v>
      </c>
      <c r="B4" s="1269"/>
      <c r="C4" s="569" t="s">
        <v>1193</v>
      </c>
      <c r="D4" s="569" t="s">
        <v>826</v>
      </c>
      <c r="E4" s="487" t="s">
        <v>1193</v>
      </c>
      <c r="F4" s="487" t="s">
        <v>826</v>
      </c>
    </row>
    <row r="5" spans="1:6" ht="12" customHeight="1">
      <c r="A5" s="1233" t="s">
        <v>827</v>
      </c>
      <c r="B5" s="1233"/>
      <c r="C5" s="540"/>
      <c r="D5" s="540"/>
      <c r="E5" s="442"/>
      <c r="F5" s="442"/>
    </row>
    <row r="6" spans="1:6" ht="11.25" customHeight="1">
      <c r="A6" s="1243" t="s">
        <v>321</v>
      </c>
      <c r="B6" s="1243"/>
      <c r="C6" s="536">
        <v>18</v>
      </c>
      <c r="D6" s="536">
        <v>10</v>
      </c>
      <c r="E6" s="433">
        <v>15</v>
      </c>
      <c r="F6" s="433">
        <v>10</v>
      </c>
    </row>
    <row r="7" spans="1:6" ht="11.25" customHeight="1">
      <c r="A7" s="1266" t="s">
        <v>641</v>
      </c>
      <c r="B7" s="1266"/>
      <c r="C7" s="537">
        <v>18</v>
      </c>
      <c r="D7" s="537">
        <v>10</v>
      </c>
      <c r="E7" s="452">
        <v>15</v>
      </c>
      <c r="F7" s="452">
        <v>10</v>
      </c>
    </row>
    <row r="8" spans="1:6" ht="11.25" customHeight="1">
      <c r="A8" s="520"/>
      <c r="B8" s="520"/>
      <c r="C8" s="543"/>
      <c r="D8" s="543" t="s">
        <v>721</v>
      </c>
      <c r="E8" s="439"/>
      <c r="F8" s="439" t="s">
        <v>721</v>
      </c>
    </row>
    <row r="9" spans="1:6" ht="22.5" customHeight="1">
      <c r="A9" s="1233" t="s">
        <v>1119</v>
      </c>
      <c r="B9" s="1233"/>
      <c r="C9" s="543"/>
      <c r="D9" s="543"/>
      <c r="E9" s="439"/>
      <c r="F9" s="439"/>
    </row>
    <row r="10" spans="1:6" ht="11.25" customHeight="1">
      <c r="A10" s="1242" t="s">
        <v>828</v>
      </c>
      <c r="B10" s="1242"/>
      <c r="C10" s="540">
        <v>5</v>
      </c>
      <c r="D10" s="540">
        <v>1</v>
      </c>
      <c r="E10" s="442">
        <v>8</v>
      </c>
      <c r="F10" s="442">
        <v>2</v>
      </c>
    </row>
    <row r="11" spans="1:6" ht="11.25" customHeight="1">
      <c r="A11" s="1243" t="s">
        <v>321</v>
      </c>
      <c r="B11" s="1243"/>
      <c r="C11" s="536"/>
      <c r="D11" s="536">
        <v>21</v>
      </c>
      <c r="E11" s="433"/>
      <c r="F11" s="433">
        <v>17</v>
      </c>
    </row>
    <row r="12" spans="1:6" ht="11.25" customHeight="1">
      <c r="A12" s="1266" t="s">
        <v>641</v>
      </c>
      <c r="B12" s="1266"/>
      <c r="C12" s="537">
        <v>5</v>
      </c>
      <c r="D12" s="537">
        <v>22</v>
      </c>
      <c r="E12" s="452">
        <v>8</v>
      </c>
      <c r="F12" s="452">
        <v>19</v>
      </c>
    </row>
    <row r="13" spans="1:6" ht="10.5" customHeight="1">
      <c r="A13" s="330"/>
      <c r="B13" s="330"/>
      <c r="C13" s="282"/>
      <c r="D13" s="282"/>
      <c r="E13" s="282"/>
      <c r="F13" s="282"/>
    </row>
    <row r="14" spans="1:6" ht="10.5" customHeight="1">
      <c r="A14" s="330"/>
      <c r="B14" s="330"/>
      <c r="C14" s="282"/>
      <c r="D14" s="282"/>
      <c r="E14" s="282"/>
      <c r="F14" s="282"/>
    </row>
    <row r="15" spans="1:6">
      <c r="A15" s="1269" t="s">
        <v>700</v>
      </c>
      <c r="B15" s="1269"/>
      <c r="C15" s="504" t="s">
        <v>721</v>
      </c>
      <c r="D15" s="474"/>
      <c r="E15" s="558">
        <v>2019</v>
      </c>
      <c r="F15" s="467">
        <v>2018</v>
      </c>
    </row>
    <row r="16" spans="1:6" ht="11.25" customHeight="1">
      <c r="A16" s="1233" t="s">
        <v>273</v>
      </c>
      <c r="B16" s="1233"/>
      <c r="C16" s="505"/>
      <c r="D16" s="468"/>
      <c r="E16" s="540"/>
      <c r="F16" s="439"/>
    </row>
    <row r="17" spans="1:6" ht="11.25" customHeight="1">
      <c r="A17" s="1259" t="s">
        <v>839</v>
      </c>
      <c r="B17" s="1259"/>
      <c r="C17" s="525"/>
      <c r="D17" s="472"/>
      <c r="E17" s="536">
        <v>718</v>
      </c>
      <c r="F17" s="433">
        <v>775</v>
      </c>
    </row>
    <row r="18" spans="1:6">
      <c r="A18" s="1266" t="s">
        <v>641</v>
      </c>
      <c r="B18" s="1266"/>
      <c r="C18" s="526"/>
      <c r="D18" s="507"/>
      <c r="E18" s="537">
        <v>718</v>
      </c>
      <c r="F18" s="452">
        <v>775</v>
      </c>
    </row>
    <row r="19" spans="1:6">
      <c r="A19" s="520"/>
      <c r="B19" s="520"/>
      <c r="C19" s="505"/>
      <c r="D19" s="468"/>
      <c r="E19" s="540"/>
      <c r="F19" s="439"/>
    </row>
    <row r="20" spans="1:6" ht="11.25" customHeight="1">
      <c r="A20" s="1233" t="s">
        <v>1641</v>
      </c>
      <c r="B20" s="1233"/>
      <c r="C20" s="505"/>
      <c r="D20" s="468"/>
      <c r="E20" s="540"/>
      <c r="F20" s="439"/>
    </row>
    <row r="21" spans="1:6">
      <c r="A21" s="1242" t="s">
        <v>0</v>
      </c>
      <c r="B21" s="1242"/>
      <c r="C21" s="505"/>
      <c r="D21" s="468"/>
      <c r="E21" s="540"/>
      <c r="F21" s="442">
        <v>53</v>
      </c>
    </row>
    <row r="22" spans="1:6">
      <c r="A22" s="1242" t="s">
        <v>905</v>
      </c>
      <c r="B22" s="1242"/>
      <c r="C22" s="505"/>
      <c r="D22" s="468"/>
      <c r="E22" s="540"/>
      <c r="F22" s="442">
        <v>148</v>
      </c>
    </row>
    <row r="23" spans="1:6">
      <c r="A23" s="1243" t="s">
        <v>1</v>
      </c>
      <c r="B23" s="1243"/>
      <c r="C23" s="525"/>
      <c r="D23" s="472"/>
      <c r="E23" s="536"/>
      <c r="F23" s="433">
        <v>83</v>
      </c>
    </row>
    <row r="24" spans="1:6" ht="10.5" customHeight="1">
      <c r="A24" s="1266" t="s">
        <v>641</v>
      </c>
      <c r="B24" s="1266"/>
      <c r="C24" s="506"/>
      <c r="D24" s="507"/>
      <c r="E24" s="537"/>
      <c r="F24" s="452">
        <v>284</v>
      </c>
    </row>
    <row r="25" spans="1:6">
      <c r="A25" s="1088"/>
      <c r="B25" s="1088"/>
      <c r="C25" s="468"/>
      <c r="D25" s="468"/>
      <c r="E25" s="543"/>
      <c r="F25" s="468"/>
    </row>
    <row r="26" spans="1:6">
      <c r="A26" s="1233" t="s">
        <v>1634</v>
      </c>
      <c r="B26" s="1233"/>
      <c r="C26" s="505"/>
      <c r="D26" s="468"/>
      <c r="E26" s="715"/>
      <c r="F26" s="442"/>
    </row>
    <row r="27" spans="1:6">
      <c r="A27" s="1242" t="s">
        <v>1469</v>
      </c>
      <c r="B27" s="1242"/>
      <c r="C27" s="505"/>
      <c r="D27" s="468"/>
      <c r="E27" s="540">
        <v>3</v>
      </c>
      <c r="F27" s="442"/>
    </row>
    <row r="28" spans="1:6">
      <c r="A28" s="1242" t="s">
        <v>1470</v>
      </c>
      <c r="B28" s="1242"/>
      <c r="C28" s="505"/>
      <c r="D28" s="468"/>
      <c r="E28" s="540">
        <v>5</v>
      </c>
      <c r="F28" s="442"/>
    </row>
    <row r="29" spans="1:6">
      <c r="A29" s="1243" t="s">
        <v>1570</v>
      </c>
      <c r="B29" s="1243"/>
      <c r="C29" s="508"/>
      <c r="D29" s="472"/>
      <c r="E29" s="536">
        <v>143</v>
      </c>
      <c r="F29" s="433"/>
    </row>
    <row r="30" spans="1:6" ht="10.5" customHeight="1">
      <c r="A30" s="1326" t="s">
        <v>641</v>
      </c>
      <c r="B30" s="1326"/>
      <c r="C30" s="506"/>
      <c r="D30" s="507"/>
      <c r="E30" s="537">
        <v>151</v>
      </c>
      <c r="F30" s="452"/>
    </row>
    <row r="31" spans="1:6">
      <c r="A31" s="329"/>
      <c r="B31" s="329"/>
      <c r="C31" s="329"/>
      <c r="D31" s="329"/>
      <c r="E31" s="329"/>
      <c r="F31" s="329"/>
    </row>
    <row r="32" spans="1:6">
      <c r="A32" s="1410" t="s">
        <v>1688</v>
      </c>
      <c r="B32" s="1410"/>
      <c r="C32" s="1410"/>
      <c r="D32" s="1410"/>
      <c r="E32" s="1410"/>
      <c r="F32" s="1410"/>
    </row>
    <row r="33" spans="1:6">
      <c r="A33" s="329"/>
      <c r="B33" s="329"/>
      <c r="C33" s="329"/>
      <c r="D33" s="329"/>
      <c r="E33" s="329"/>
      <c r="F33" s="329"/>
    </row>
    <row r="34" spans="1:6" ht="11.25" customHeight="1">
      <c r="A34" s="329"/>
      <c r="B34" s="329"/>
      <c r="C34" s="329"/>
      <c r="D34" s="329"/>
      <c r="E34" s="329"/>
      <c r="F34" s="329"/>
    </row>
    <row r="35" spans="1:6" ht="11.25" customHeight="1">
      <c r="A35" s="329"/>
      <c r="B35" s="329"/>
      <c r="C35" s="329"/>
      <c r="D35" s="329"/>
      <c r="E35" s="329"/>
      <c r="F35" s="329"/>
    </row>
    <row r="36" spans="1:6" ht="11.25" customHeight="1">
      <c r="A36" s="329"/>
      <c r="B36" s="329"/>
      <c r="C36" s="329"/>
      <c r="D36" s="329"/>
      <c r="E36" s="329"/>
      <c r="F36" s="329"/>
    </row>
    <row r="37" spans="1:6" ht="11.25" customHeight="1"/>
  </sheetData>
  <mergeCells count="24">
    <mergeCell ref="A32:F32"/>
    <mergeCell ref="A30:B30"/>
    <mergeCell ref="A12:B12"/>
    <mergeCell ref="A15:B15"/>
    <mergeCell ref="A16:B16"/>
    <mergeCell ref="A20:B20"/>
    <mergeCell ref="A18:B18"/>
    <mergeCell ref="A22:B22"/>
    <mergeCell ref="A29:B29"/>
    <mergeCell ref="A23:B23"/>
    <mergeCell ref="A24:B24"/>
    <mergeCell ref="A26:B26"/>
    <mergeCell ref="A27:B27"/>
    <mergeCell ref="A28:B28"/>
    <mergeCell ref="A10:B10"/>
    <mergeCell ref="A11:B11"/>
    <mergeCell ref="A17:B17"/>
    <mergeCell ref="A21:B21"/>
    <mergeCell ref="A1:F1"/>
    <mergeCell ref="A5:B5"/>
    <mergeCell ref="A7:B7"/>
    <mergeCell ref="A9:B9"/>
    <mergeCell ref="A4:B4"/>
    <mergeCell ref="A6:B6"/>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Q36"/>
  <sheetViews>
    <sheetView zoomScaleNormal="100" workbookViewId="0">
      <selection sqref="A1:F1"/>
    </sheetView>
  </sheetViews>
  <sheetFormatPr defaultColWidth="37.5" defaultRowHeight="12" customHeight="1"/>
  <cols>
    <col min="1" max="1" width="2.5" style="236" customWidth="1"/>
    <col min="2" max="2" width="74.1640625" style="214" customWidth="1"/>
    <col min="3" max="4" width="18.33203125" style="216" customWidth="1"/>
    <col min="5" max="5" width="8.33203125" style="216" customWidth="1"/>
    <col min="6" max="6" width="8.33203125" style="205" customWidth="1"/>
    <col min="7" max="7" width="9.1640625" style="845" customWidth="1"/>
    <col min="8" max="8" width="9.33203125" style="845" customWidth="1"/>
    <col min="9" max="17" width="3.6640625" style="205" customWidth="1"/>
    <col min="18" max="16384" width="37.5" style="236"/>
  </cols>
  <sheetData>
    <row r="1" spans="1:17" ht="15.75" customHeight="1">
      <c r="A1" s="1252" t="s">
        <v>923</v>
      </c>
      <c r="B1" s="1252"/>
      <c r="C1" s="1252"/>
      <c r="D1" s="1252"/>
      <c r="E1" s="1252"/>
      <c r="F1" s="1252"/>
    </row>
    <row r="2" spans="1:17" ht="11.25" customHeight="1">
      <c r="A2" s="435"/>
      <c r="B2" s="206"/>
      <c r="C2" s="434"/>
      <c r="D2" s="434"/>
      <c r="E2" s="613"/>
      <c r="F2" s="649"/>
    </row>
    <row r="3" spans="1:17" s="1157" customFormat="1" ht="11.25" customHeight="1">
      <c r="A3" s="1245" t="s">
        <v>700</v>
      </c>
      <c r="B3" s="1245"/>
      <c r="C3" s="532">
        <v>2019</v>
      </c>
      <c r="D3" s="451">
        <v>2018</v>
      </c>
      <c r="E3" s="1251" t="s">
        <v>842</v>
      </c>
      <c r="F3" s="1251"/>
      <c r="G3" s="845"/>
      <c r="H3" s="845"/>
      <c r="I3" s="205"/>
      <c r="J3" s="205"/>
      <c r="K3" s="205"/>
      <c r="L3" s="205"/>
      <c r="M3" s="205"/>
      <c r="N3" s="205"/>
      <c r="O3" s="205"/>
      <c r="P3" s="205"/>
      <c r="Q3" s="205"/>
    </row>
    <row r="4" spans="1:17" s="1155" customFormat="1" ht="12" customHeight="1">
      <c r="A4" s="1237" t="s">
        <v>501</v>
      </c>
      <c r="B4" s="1237"/>
      <c r="C4" s="540">
        <v>5170</v>
      </c>
      <c r="D4" s="442">
        <v>5174</v>
      </c>
      <c r="E4" s="1195">
        <v>1</v>
      </c>
      <c r="F4" s="1196">
        <v>5</v>
      </c>
      <c r="G4" s="845"/>
      <c r="H4" s="845"/>
      <c r="I4" s="205"/>
      <c r="J4" s="205"/>
      <c r="K4" s="205"/>
      <c r="L4" s="205"/>
      <c r="M4" s="205"/>
      <c r="N4" s="205"/>
      <c r="O4" s="205"/>
      <c r="P4" s="205"/>
      <c r="Q4" s="205"/>
    </row>
    <row r="5" spans="1:17" s="1155" customFormat="1" ht="11.25" customHeight="1">
      <c r="A5" s="1223" t="s">
        <v>326</v>
      </c>
      <c r="B5" s="1223"/>
      <c r="C5" s="540">
        <v>137</v>
      </c>
      <c r="D5" s="442">
        <v>64</v>
      </c>
      <c r="E5" s="442"/>
      <c r="F5" s="436"/>
      <c r="G5" s="845"/>
      <c r="H5" s="845"/>
      <c r="I5" s="205"/>
      <c r="J5" s="205"/>
      <c r="K5" s="205"/>
      <c r="L5" s="205"/>
      <c r="M5" s="205"/>
      <c r="N5" s="205"/>
      <c r="O5" s="205"/>
      <c r="P5" s="205"/>
      <c r="Q5" s="205"/>
    </row>
    <row r="6" spans="1:17" s="1155" customFormat="1" ht="12" customHeight="1">
      <c r="A6" s="1223" t="s">
        <v>375</v>
      </c>
      <c r="B6" s="1223"/>
      <c r="C6" s="540">
        <v>18</v>
      </c>
      <c r="D6" s="442">
        <v>14</v>
      </c>
      <c r="E6" s="442"/>
      <c r="F6" s="436"/>
      <c r="G6" s="845"/>
      <c r="H6" s="845"/>
      <c r="I6" s="205"/>
      <c r="J6" s="205"/>
      <c r="K6" s="205"/>
      <c r="L6" s="205"/>
      <c r="M6" s="205"/>
      <c r="N6" s="205"/>
      <c r="O6" s="205"/>
      <c r="P6" s="205"/>
      <c r="Q6" s="205"/>
    </row>
    <row r="7" spans="1:17" s="1155" customFormat="1" ht="12" customHeight="1">
      <c r="A7" s="1237" t="s">
        <v>316</v>
      </c>
      <c r="B7" s="1237"/>
      <c r="C7" s="540">
        <v>67</v>
      </c>
      <c r="D7" s="442">
        <v>80</v>
      </c>
      <c r="E7" s="442"/>
      <c r="F7" s="1196">
        <v>6</v>
      </c>
      <c r="G7" s="845"/>
      <c r="H7" s="845"/>
      <c r="I7" s="205"/>
      <c r="J7" s="205"/>
      <c r="K7" s="205"/>
      <c r="L7" s="205"/>
      <c r="M7" s="205"/>
      <c r="N7" s="205"/>
      <c r="O7" s="205"/>
      <c r="P7" s="205"/>
      <c r="Q7" s="205"/>
    </row>
    <row r="8" spans="1:17" s="1155" customFormat="1" ht="12" customHeight="1">
      <c r="A8" s="1253"/>
      <c r="B8" s="1253"/>
      <c r="C8" s="540"/>
      <c r="D8" s="442"/>
      <c r="E8" s="442"/>
      <c r="F8" s="436"/>
      <c r="G8" s="845"/>
      <c r="H8" s="845"/>
      <c r="I8" s="205"/>
      <c r="J8" s="205"/>
      <c r="K8" s="205"/>
      <c r="L8" s="205"/>
      <c r="M8" s="205"/>
      <c r="N8" s="205"/>
      <c r="O8" s="205"/>
      <c r="P8" s="205"/>
      <c r="Q8" s="205"/>
    </row>
    <row r="9" spans="1:17" s="1155" customFormat="1" ht="12" customHeight="1">
      <c r="A9" s="1237" t="s">
        <v>374</v>
      </c>
      <c r="B9" s="1237"/>
      <c r="C9" s="540">
        <v>-3003</v>
      </c>
      <c r="D9" s="442">
        <v>-2852</v>
      </c>
      <c r="E9" s="442"/>
      <c r="F9" s="1196">
        <v>7</v>
      </c>
      <c r="G9" s="845"/>
      <c r="H9" s="845"/>
      <c r="I9" s="205"/>
      <c r="J9" s="205"/>
      <c r="K9" s="205"/>
      <c r="L9" s="205"/>
      <c r="M9" s="205"/>
      <c r="N9" s="205"/>
      <c r="O9" s="205"/>
      <c r="P9" s="205"/>
      <c r="Q9" s="205"/>
    </row>
    <row r="10" spans="1:17" s="1155" customFormat="1" ht="12" customHeight="1">
      <c r="A10" s="1237" t="s">
        <v>243</v>
      </c>
      <c r="B10" s="1237"/>
      <c r="C10" s="540">
        <v>-1260</v>
      </c>
      <c r="D10" s="442">
        <v>-1175</v>
      </c>
      <c r="E10" s="442"/>
      <c r="F10" s="1196">
        <v>8</v>
      </c>
      <c r="G10" s="845"/>
      <c r="H10" s="845"/>
      <c r="I10" s="205"/>
      <c r="J10" s="205"/>
      <c r="K10" s="205"/>
      <c r="L10" s="205"/>
      <c r="M10" s="205"/>
      <c r="N10" s="205"/>
      <c r="O10" s="205"/>
      <c r="P10" s="205"/>
      <c r="Q10" s="205"/>
    </row>
    <row r="11" spans="1:17" s="1155" customFormat="1" ht="12" customHeight="1">
      <c r="A11" s="1237" t="s">
        <v>412</v>
      </c>
      <c r="B11" s="1237"/>
      <c r="C11" s="540">
        <v>-180</v>
      </c>
      <c r="D11" s="442">
        <v>-130</v>
      </c>
      <c r="E11" s="442"/>
      <c r="F11" s="1196">
        <v>9</v>
      </c>
      <c r="G11" s="845"/>
      <c r="H11" s="845"/>
      <c r="I11" s="205"/>
      <c r="J11" s="205"/>
      <c r="K11" s="205"/>
      <c r="L11" s="205"/>
      <c r="M11" s="205"/>
      <c r="N11" s="205"/>
      <c r="O11" s="205"/>
      <c r="P11" s="205"/>
      <c r="Q11" s="205"/>
    </row>
    <row r="12" spans="1:17" s="1155" customFormat="1" ht="12" customHeight="1">
      <c r="A12" s="1237" t="s">
        <v>317</v>
      </c>
      <c r="B12" s="1237"/>
      <c r="C12" s="540">
        <v>-578</v>
      </c>
      <c r="D12" s="442">
        <v>-648</v>
      </c>
      <c r="E12" s="442"/>
      <c r="F12" s="1196">
        <v>10</v>
      </c>
      <c r="G12" s="845"/>
      <c r="H12" s="845"/>
      <c r="I12" s="205"/>
      <c r="J12" s="205"/>
      <c r="K12" s="205"/>
      <c r="L12" s="205"/>
      <c r="M12" s="205"/>
      <c r="N12" s="205"/>
      <c r="O12" s="205"/>
      <c r="P12" s="205"/>
      <c r="Q12" s="205"/>
    </row>
    <row r="13" spans="1:17" s="1155" customFormat="1" ht="12" customHeight="1">
      <c r="A13" s="1223" t="s">
        <v>30</v>
      </c>
      <c r="B13" s="1223"/>
      <c r="C13" s="540">
        <v>-9</v>
      </c>
      <c r="D13" s="442">
        <v>13</v>
      </c>
      <c r="E13" s="442"/>
      <c r="F13" s="1196">
        <v>17</v>
      </c>
      <c r="G13" s="845"/>
      <c r="H13" s="845"/>
      <c r="I13" s="205"/>
      <c r="J13" s="205"/>
      <c r="K13" s="205"/>
      <c r="L13" s="205"/>
      <c r="M13" s="205"/>
      <c r="N13" s="205"/>
      <c r="O13" s="205"/>
      <c r="P13" s="205"/>
      <c r="Q13" s="205"/>
    </row>
    <row r="14" spans="1:17" s="1155" customFormat="1" ht="12" customHeight="1">
      <c r="A14" s="1253"/>
      <c r="B14" s="1253"/>
      <c r="C14" s="540"/>
      <c r="D14" s="442"/>
      <c r="E14" s="442"/>
      <c r="F14" s="436"/>
      <c r="G14" s="845"/>
      <c r="H14" s="845"/>
      <c r="I14" s="205"/>
      <c r="J14" s="205"/>
      <c r="K14" s="205"/>
      <c r="L14" s="205"/>
      <c r="M14" s="205"/>
      <c r="N14" s="205"/>
      <c r="O14" s="205"/>
      <c r="P14" s="205"/>
      <c r="Q14" s="205"/>
    </row>
    <row r="15" spans="1:17" s="1155" customFormat="1" ht="12" customHeight="1">
      <c r="A15" s="1241" t="s">
        <v>191</v>
      </c>
      <c r="B15" s="1241"/>
      <c r="C15" s="540">
        <v>362</v>
      </c>
      <c r="D15" s="442">
        <v>543</v>
      </c>
      <c r="E15" s="442"/>
      <c r="F15" s="436"/>
      <c r="G15" s="845"/>
      <c r="H15" s="845"/>
      <c r="I15" s="205"/>
      <c r="J15" s="205"/>
      <c r="K15" s="205"/>
      <c r="L15" s="205"/>
      <c r="M15" s="205"/>
      <c r="N15" s="205"/>
      <c r="O15" s="205"/>
      <c r="P15" s="205"/>
      <c r="Q15" s="205"/>
    </row>
    <row r="16" spans="1:17" s="1155" customFormat="1" ht="12" customHeight="1">
      <c r="A16" s="1229" t="s">
        <v>830</v>
      </c>
      <c r="B16" s="1229"/>
      <c r="C16" s="583">
        <v>7</v>
      </c>
      <c r="D16" s="448">
        <v>10.5</v>
      </c>
      <c r="E16" s="448"/>
      <c r="F16" s="436"/>
      <c r="G16" s="845"/>
      <c r="H16" s="845"/>
      <c r="I16" s="205"/>
      <c r="J16" s="205"/>
      <c r="K16" s="205"/>
      <c r="L16" s="205"/>
      <c r="M16" s="205"/>
      <c r="N16" s="205"/>
      <c r="O16" s="205"/>
      <c r="P16" s="205"/>
      <c r="Q16" s="205"/>
    </row>
    <row r="17" spans="1:17" s="1155" customFormat="1" ht="12" customHeight="1">
      <c r="A17" s="1253"/>
      <c r="B17" s="1253"/>
      <c r="C17" s="540"/>
      <c r="D17" s="442"/>
      <c r="E17" s="442"/>
      <c r="F17" s="436"/>
      <c r="G17" s="845"/>
      <c r="H17" s="845"/>
      <c r="I17" s="205"/>
      <c r="J17" s="205"/>
      <c r="K17" s="205"/>
      <c r="L17" s="205"/>
      <c r="M17" s="205"/>
      <c r="N17" s="205"/>
      <c r="O17" s="205"/>
      <c r="P17" s="205"/>
      <c r="Q17" s="205"/>
    </row>
    <row r="18" spans="1:17" s="1155" customFormat="1" ht="12" customHeight="1">
      <c r="A18" s="1223" t="s">
        <v>1128</v>
      </c>
      <c r="B18" s="1223"/>
      <c r="C18" s="540">
        <v>27</v>
      </c>
      <c r="D18" s="442">
        <v>24</v>
      </c>
      <c r="E18" s="442"/>
      <c r="F18" s="1196">
        <v>11</v>
      </c>
      <c r="G18" s="845"/>
      <c r="H18" s="845"/>
      <c r="I18" s="205"/>
      <c r="J18" s="205"/>
      <c r="K18" s="205"/>
      <c r="L18" s="205"/>
      <c r="M18" s="205"/>
      <c r="N18" s="205"/>
      <c r="O18" s="205"/>
      <c r="P18" s="205"/>
      <c r="Q18" s="205"/>
    </row>
    <row r="19" spans="1:17" s="1155" customFormat="1" ht="12" customHeight="1">
      <c r="A19" s="1223" t="s">
        <v>1129</v>
      </c>
      <c r="B19" s="1223"/>
      <c r="C19" s="540">
        <v>-74</v>
      </c>
      <c r="D19" s="442">
        <v>-65</v>
      </c>
      <c r="E19" s="442"/>
      <c r="F19" s="1196">
        <v>11</v>
      </c>
      <c r="G19" s="845"/>
      <c r="H19" s="845"/>
      <c r="I19" s="205"/>
      <c r="J19" s="205"/>
      <c r="K19" s="205"/>
      <c r="L19" s="205"/>
      <c r="M19" s="205"/>
      <c r="N19" s="205"/>
      <c r="O19" s="205"/>
      <c r="P19" s="205"/>
      <c r="Q19" s="205"/>
    </row>
    <row r="20" spans="1:17" s="1155" customFormat="1" ht="12" customHeight="1">
      <c r="A20" s="1253"/>
      <c r="B20" s="1253"/>
      <c r="C20" s="540"/>
      <c r="D20" s="442"/>
      <c r="E20" s="442"/>
      <c r="F20" s="436"/>
      <c r="G20" s="845"/>
      <c r="H20" s="845"/>
      <c r="I20" s="205"/>
      <c r="J20" s="205"/>
      <c r="K20" s="205"/>
      <c r="L20" s="205"/>
      <c r="M20" s="205"/>
      <c r="N20" s="205"/>
      <c r="O20" s="205"/>
      <c r="P20" s="205"/>
      <c r="Q20" s="205"/>
    </row>
    <row r="21" spans="1:17" s="1155" customFormat="1" ht="12" customHeight="1">
      <c r="A21" s="1241" t="s">
        <v>636</v>
      </c>
      <c r="B21" s="1241"/>
      <c r="C21" s="540">
        <v>315</v>
      </c>
      <c r="D21" s="442">
        <v>502</v>
      </c>
      <c r="E21" s="442"/>
      <c r="F21" s="436"/>
      <c r="G21" s="845"/>
      <c r="H21" s="845"/>
      <c r="I21" s="205"/>
      <c r="J21" s="205"/>
      <c r="K21" s="205"/>
      <c r="L21" s="205"/>
      <c r="M21" s="205"/>
      <c r="N21" s="205"/>
      <c r="O21" s="205"/>
      <c r="P21" s="205"/>
      <c r="Q21" s="205"/>
    </row>
    <row r="22" spans="1:17" s="1155" customFormat="1" ht="12" customHeight="1">
      <c r="A22" s="1257"/>
      <c r="B22" s="1257"/>
      <c r="C22" s="540"/>
      <c r="D22" s="442"/>
      <c r="E22" s="442"/>
      <c r="F22" s="436"/>
      <c r="G22" s="845"/>
      <c r="H22" s="845"/>
      <c r="I22" s="205"/>
      <c r="J22" s="205"/>
      <c r="K22" s="205"/>
      <c r="L22" s="205"/>
      <c r="M22" s="205"/>
      <c r="N22" s="205"/>
      <c r="O22" s="205"/>
      <c r="P22" s="205"/>
      <c r="Q22" s="205"/>
    </row>
    <row r="23" spans="1:17" s="1155" customFormat="1" ht="12" customHeight="1">
      <c r="A23" s="1255" t="s">
        <v>562</v>
      </c>
      <c r="B23" s="1255"/>
      <c r="C23" s="536">
        <v>-97</v>
      </c>
      <c r="D23" s="433">
        <v>-116</v>
      </c>
      <c r="E23" s="433"/>
      <c r="F23" s="1197">
        <v>12</v>
      </c>
      <c r="G23" s="845"/>
      <c r="H23" s="845"/>
      <c r="I23" s="205"/>
      <c r="J23" s="205"/>
      <c r="K23" s="205"/>
      <c r="L23" s="205"/>
      <c r="M23" s="205"/>
      <c r="N23" s="205"/>
      <c r="O23" s="205"/>
      <c r="P23" s="205"/>
      <c r="Q23" s="205"/>
    </row>
    <row r="24" spans="1:17" s="1155" customFormat="1" ht="12" customHeight="1">
      <c r="A24" s="1256" t="s">
        <v>487</v>
      </c>
      <c r="B24" s="1256"/>
      <c r="C24" s="536">
        <v>218</v>
      </c>
      <c r="D24" s="433">
        <v>386</v>
      </c>
      <c r="E24" s="433"/>
      <c r="F24" s="1044"/>
      <c r="G24" s="845"/>
      <c r="H24" s="845"/>
      <c r="I24" s="205"/>
      <c r="J24" s="205"/>
      <c r="K24" s="205"/>
      <c r="L24" s="205"/>
      <c r="M24" s="205"/>
      <c r="N24" s="205"/>
      <c r="O24" s="205"/>
      <c r="P24" s="205"/>
      <c r="Q24" s="205"/>
    </row>
    <row r="25" spans="1:17" s="1155" customFormat="1" ht="12" customHeight="1">
      <c r="A25" s="1253"/>
      <c r="B25" s="1253"/>
      <c r="C25" s="540"/>
      <c r="D25" s="442"/>
      <c r="E25" s="442"/>
      <c r="F25" s="615"/>
      <c r="G25" s="845"/>
      <c r="H25" s="845"/>
      <c r="I25" s="205"/>
      <c r="J25" s="205"/>
      <c r="K25" s="205"/>
      <c r="L25" s="205"/>
      <c r="M25" s="205"/>
      <c r="N25" s="205"/>
      <c r="O25" s="205"/>
      <c r="P25" s="205"/>
      <c r="Q25" s="205"/>
    </row>
    <row r="26" spans="1:17" s="1155" customFormat="1" ht="12" customHeight="1">
      <c r="A26" s="1237" t="s">
        <v>14</v>
      </c>
      <c r="B26" s="1237"/>
      <c r="C26" s="540"/>
      <c r="D26" s="442"/>
      <c r="E26" s="442"/>
      <c r="F26" s="615"/>
      <c r="G26" s="845"/>
      <c r="H26" s="845"/>
      <c r="I26" s="205"/>
      <c r="J26" s="205"/>
      <c r="K26" s="205"/>
      <c r="L26" s="205"/>
      <c r="M26" s="205"/>
      <c r="N26" s="205"/>
      <c r="O26" s="205"/>
      <c r="P26" s="205"/>
      <c r="Q26" s="205"/>
    </row>
    <row r="27" spans="1:17" s="1155" customFormat="1" ht="12" customHeight="1">
      <c r="A27" s="1229" t="s">
        <v>1095</v>
      </c>
      <c r="B27" s="1229"/>
      <c r="C27" s="540">
        <v>217</v>
      </c>
      <c r="D27" s="442">
        <v>386</v>
      </c>
      <c r="E27" s="442"/>
      <c r="F27" s="1196">
        <v>13</v>
      </c>
      <c r="G27" s="845"/>
      <c r="H27" s="845"/>
      <c r="I27" s="205"/>
      <c r="J27" s="205"/>
      <c r="K27" s="205"/>
      <c r="L27" s="205"/>
      <c r="M27" s="205"/>
      <c r="N27" s="205"/>
      <c r="O27" s="205"/>
      <c r="P27" s="205"/>
      <c r="Q27" s="205"/>
    </row>
    <row r="28" spans="1:17" s="1155" customFormat="1" ht="12" customHeight="1">
      <c r="A28" s="1258" t="s">
        <v>1096</v>
      </c>
      <c r="B28" s="1258"/>
      <c r="C28" s="536">
        <v>1</v>
      </c>
      <c r="D28" s="433">
        <v>1</v>
      </c>
      <c r="E28" s="433"/>
      <c r="F28" s="1045"/>
      <c r="G28" s="845"/>
      <c r="H28" s="845"/>
      <c r="I28" s="205"/>
      <c r="J28" s="205"/>
      <c r="K28" s="205"/>
      <c r="L28" s="205"/>
      <c r="M28" s="205"/>
      <c r="N28" s="205"/>
      <c r="O28" s="205"/>
      <c r="P28" s="205"/>
      <c r="Q28" s="205"/>
    </row>
    <row r="29" spans="1:17" s="1155" customFormat="1" ht="12" customHeight="1">
      <c r="A29" s="1253"/>
      <c r="B29" s="1253"/>
      <c r="C29" s="540">
        <v>218</v>
      </c>
      <c r="D29" s="442">
        <v>386</v>
      </c>
      <c r="E29" s="442"/>
      <c r="F29" s="440"/>
      <c r="G29" s="845"/>
      <c r="H29" s="845"/>
      <c r="I29" s="205"/>
      <c r="J29" s="205"/>
      <c r="K29" s="205"/>
      <c r="L29" s="205"/>
      <c r="M29" s="205"/>
      <c r="N29" s="205"/>
      <c r="O29" s="205"/>
      <c r="P29" s="205"/>
      <c r="Q29" s="205"/>
    </row>
    <row r="30" spans="1:17" s="1155" customFormat="1" ht="12" customHeight="1">
      <c r="A30" s="1253"/>
      <c r="B30" s="1253"/>
      <c r="C30" s="565"/>
      <c r="D30" s="439"/>
      <c r="E30" s="439"/>
      <c r="F30" s="440"/>
      <c r="G30" s="845"/>
      <c r="H30" s="845"/>
      <c r="I30" s="205"/>
      <c r="J30" s="205"/>
      <c r="K30" s="205"/>
      <c r="L30" s="205"/>
      <c r="M30" s="205"/>
      <c r="N30" s="205"/>
      <c r="O30" s="205"/>
      <c r="P30" s="205"/>
      <c r="Q30" s="205"/>
    </row>
    <row r="31" spans="1:17" s="1155" customFormat="1" ht="12" customHeight="1">
      <c r="A31" s="1253" t="s">
        <v>1056</v>
      </c>
      <c r="B31" s="1253" t="s">
        <v>1055</v>
      </c>
      <c r="C31" s="565"/>
      <c r="D31" s="439"/>
      <c r="E31" s="439"/>
      <c r="F31" s="440"/>
      <c r="G31" s="845"/>
      <c r="H31" s="845"/>
      <c r="I31" s="205"/>
      <c r="J31" s="205"/>
      <c r="K31" s="205"/>
      <c r="L31" s="205"/>
      <c r="M31" s="205"/>
      <c r="N31" s="205"/>
      <c r="O31" s="205"/>
      <c r="P31" s="205"/>
      <c r="Q31" s="205"/>
    </row>
    <row r="32" spans="1:17" s="1155" customFormat="1" ht="11.25" customHeight="1">
      <c r="A32" s="1254" t="s">
        <v>1130</v>
      </c>
      <c r="B32" s="1254"/>
      <c r="C32" s="946">
        <v>0.37</v>
      </c>
      <c r="D32" s="477">
        <v>0.65</v>
      </c>
      <c r="E32" s="439"/>
      <c r="F32" s="1196">
        <v>13</v>
      </c>
      <c r="G32" s="845"/>
      <c r="H32" s="845"/>
      <c r="I32" s="205"/>
      <c r="J32" s="205"/>
      <c r="K32" s="205"/>
      <c r="L32" s="205"/>
      <c r="M32" s="205"/>
      <c r="N32" s="205"/>
      <c r="O32" s="205"/>
      <c r="P32" s="205"/>
      <c r="Q32" s="205"/>
    </row>
    <row r="34" spans="1:6" ht="12" customHeight="1">
      <c r="A34" s="1239" t="s">
        <v>870</v>
      </c>
      <c r="B34" s="1239"/>
      <c r="C34" s="1239"/>
      <c r="D34" s="1239"/>
      <c r="E34" s="1239"/>
      <c r="F34" s="1239"/>
    </row>
    <row r="35" spans="1:6" ht="12" customHeight="1">
      <c r="C35" s="215"/>
    </row>
    <row r="36" spans="1:6" ht="12" customHeight="1">
      <c r="C36" s="215"/>
    </row>
  </sheetData>
  <mergeCells count="33">
    <mergeCell ref="A6:B6"/>
    <mergeCell ref="A31:B31"/>
    <mergeCell ref="A20:B20"/>
    <mergeCell ref="A21:B21"/>
    <mergeCell ref="A22:B22"/>
    <mergeCell ref="A17:B17"/>
    <mergeCell ref="A16:B16"/>
    <mergeCell ref="A27:B27"/>
    <mergeCell ref="A11:B11"/>
    <mergeCell ref="A28:B28"/>
    <mergeCell ref="A32:B32"/>
    <mergeCell ref="A34:F34"/>
    <mergeCell ref="A29:B29"/>
    <mergeCell ref="A30:B30"/>
    <mergeCell ref="A23:B23"/>
    <mergeCell ref="A24:B24"/>
    <mergeCell ref="A25:B25"/>
    <mergeCell ref="E3:F3"/>
    <mergeCell ref="A18:B18"/>
    <mergeCell ref="A19:B19"/>
    <mergeCell ref="A1:F1"/>
    <mergeCell ref="A26:B26"/>
    <mergeCell ref="A3:B3"/>
    <mergeCell ref="A10:B10"/>
    <mergeCell ref="A9:B9"/>
    <mergeCell ref="A8:B8"/>
    <mergeCell ref="A5:B5"/>
    <mergeCell ref="A4:B4"/>
    <mergeCell ref="A15:B15"/>
    <mergeCell ref="A14:B14"/>
    <mergeCell ref="A13:B13"/>
    <mergeCell ref="A12:B12"/>
    <mergeCell ref="A7:B7"/>
  </mergeCells>
  <phoneticPr fontId="35" type="noConversion"/>
  <hyperlinks>
    <hyperlink ref="F4" r:id="rId1" location="5-disaggregation-of-revenue" display="http://www.wartsilareports.com/en-US/2019/ar/financial-review/financial-statements/consolidated-financial-statements/notes-to-the-consolidated-financial-statements/ - 5-disaggregation-of-revenue" xr:uid="{00000000-0004-0000-0200-000000000000}"/>
    <hyperlink ref="E4" r:id="rId2" location="1-segment-information" display="http://www.wartsilareports.com/en-US/2019/ar/financial-review/financial-statements/consolidated-financial-statements/notes-to-the-consolidated-financial-statements/ - 1-segment-information" xr:uid="{00000000-0004-0000-0200-000001000000}"/>
    <hyperlink ref="F7" r:id="rId3" location="6-other-operating-income" display="http://www.wartsilareports.com/en-US/2019/ar/financial-review/financial-statements/consolidated-financial-statements/notes-to-the-consolidated-financial-statements/ - 6-other-operating-income" xr:uid="{00000000-0004-0000-0200-000002000000}"/>
    <hyperlink ref="F9" r:id="rId4" location="7-material-and-services" display="http://www.wartsilareports.com/en-US/2019/ar/financial-review/financial-statements/consolidated-financial-statements/notes-to-the-consolidated-financial-statements/ - 7-material-and-services" xr:uid="{00000000-0004-0000-0200-000003000000}"/>
    <hyperlink ref="F10" r:id="rId5" location="8-employee-benefit-expenses" display="http://www.wartsilareports.com/en-US/2019/ar/financial-review/financial-statements/consolidated-financial-statements/notes-to-the-consolidated-financial-statements/ - 8-employee-benefit-expenses" xr:uid="{00000000-0004-0000-0200-000004000000}"/>
    <hyperlink ref="F11" r:id="rId6" location="9-depreciation-amortisation-and-impairment" display="http://www.wartsilareports.com/en-US/2019/ar/financial-review/financial-statements/consolidated-financial-statements/notes-to-the-consolidated-financial-statements/ - 9-depreciation-amortisation-and-impairment" xr:uid="{00000000-0004-0000-0200-000005000000}"/>
    <hyperlink ref="F23" r:id="rId7" location="12-income-taxes" display="http://www.wartsilareports.com/en-US/2019/ar/financial-review/financial-statements/consolidated-financial-statements/notes-to-the-consolidated-financial-statements/ - 12-income-taxes" xr:uid="{00000000-0004-0000-0200-000006000000}"/>
    <hyperlink ref="F27" r:id="rId8" location="13-earnings-per-share" display="http://www.wartsilareports.com/en-US/2019/ar/financial-review/financial-statements/consolidated-financial-statements/notes-to-the-consolidated-financial-statements/ - 13-earnings-per-share" xr:uid="{00000000-0004-0000-0200-000007000000}"/>
    <hyperlink ref="F13" r:id="rId9" location="17-investments-in-associates-and-joint-ventures" display="http://www.wartsilareports.com/en-US/2019/ar/financial-review/financial-statements/consolidated-financial-statements/notes-to-the-consolidated-financial-statements/ - 17-investments-in-associates-and-joint-ventures" xr:uid="{00000000-0004-0000-0200-000008000000}"/>
    <hyperlink ref="F12" r:id="rId10" location="10-other-operating-expenses" display="http://www.wartsilareports.com/en-US/2019/ar/financial-review/financial-statements/consolidated-financial-statements/notes-to-the-consolidated-financial-statements/ - 10-other-operating-expenses" xr:uid="{3661A294-6327-400A-BB74-A8BD73BF5123}"/>
    <hyperlink ref="F18" r:id="rId11" location="11-financial-income-and-expenses" display="http://www.wartsilareports.com/en-US/2019/ar/financial-review/financial-statements/consolidated-financial-statements/notes-to-the-consolidated-financial-statements/ - 11-financial-income-and-expenses" xr:uid="{693501E0-46C3-4421-83E9-A8CF96124C7E}"/>
    <hyperlink ref="F19" r:id="rId12" location="11-financial-income-and-expenses" display="http://www.wartsilareports.com/en-US/2019/ar/financial-review/financial-statements/consolidated-financial-statements/notes-to-the-consolidated-financial-statements/ - 11-financial-income-and-expenses" xr:uid="{31074DFE-BFBF-4DD5-BCE5-6E7614985CFD}"/>
    <hyperlink ref="F32" r:id="rId13" location="13-earnings-per-share" display="http://www.wartsilareports.com/en-US/2019/ar/financial-review/financial-statements/consolidated-financial-statements/notes-to-the-consolidated-financial-statements/ - 13-earnings-per-share" xr:uid="{8AD9DA68-F7B0-483B-A780-42E1A53461F5}"/>
  </hyperlinks>
  <printOptions horizontalCentered="1"/>
  <pageMargins left="0.78740157480314965" right="0.82677165354330717" top="0.86614173228346458" bottom="0.39370078740157483" header="0.51181102362204722" footer="0.35433070866141736"/>
  <pageSetup paperSize="9" scale="81" fitToHeight="2" orientation="portrait" r:id="rId14"/>
  <headerFooter alignWithMargins="0"/>
  <customProperties>
    <customPr name="SheetOptions" r:id="rId15"/>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pageSetUpPr fitToPage="1"/>
  </sheetPr>
  <dimension ref="A1:Q55"/>
  <sheetViews>
    <sheetView zoomScaleNormal="100" workbookViewId="0">
      <selection sqref="A1:D1"/>
    </sheetView>
  </sheetViews>
  <sheetFormatPr defaultColWidth="8.6640625" defaultRowHeight="11.25"/>
  <cols>
    <col min="1" max="1" width="2.5" style="274" customWidth="1"/>
    <col min="2" max="2" width="87.5" style="274" customWidth="1"/>
    <col min="3" max="4" width="20" style="229" customWidth="1"/>
    <col min="5" max="17" width="3.6640625" style="205" customWidth="1"/>
    <col min="18" max="16384" width="8.6640625" style="1151"/>
  </cols>
  <sheetData>
    <row r="1" spans="1:4" ht="16.5" customHeight="1">
      <c r="A1" s="1252" t="s">
        <v>1506</v>
      </c>
      <c r="B1" s="1366"/>
      <c r="C1" s="1366"/>
      <c r="D1" s="1366"/>
    </row>
    <row r="2" spans="1:4">
      <c r="A2" s="285"/>
      <c r="B2" s="279"/>
      <c r="C2" s="281"/>
      <c r="D2" s="281"/>
    </row>
    <row r="3" spans="1:4" ht="11.25" customHeight="1">
      <c r="A3" s="1299" t="s">
        <v>1145</v>
      </c>
      <c r="B3" s="1246"/>
      <c r="C3" s="1246"/>
      <c r="D3" s="1246"/>
    </row>
    <row r="4" spans="1:4">
      <c r="A4" s="330"/>
      <c r="B4" s="330"/>
      <c r="C4" s="280"/>
      <c r="D4" s="280"/>
    </row>
    <row r="5" spans="1:4">
      <c r="A5" s="1387" t="s">
        <v>959</v>
      </c>
      <c r="B5" s="1246"/>
      <c r="C5" s="268"/>
      <c r="D5" s="268"/>
    </row>
    <row r="6" spans="1:4">
      <c r="A6" s="330"/>
      <c r="B6" s="330"/>
      <c r="C6" s="205"/>
      <c r="D6" s="205"/>
    </row>
    <row r="7" spans="1:4" ht="22.5" customHeight="1">
      <c r="A7" s="329"/>
      <c r="B7" s="329"/>
      <c r="C7" s="1415" t="s">
        <v>1160</v>
      </c>
      <c r="D7" s="1415"/>
    </row>
    <row r="8" spans="1:4">
      <c r="A8" s="1269" t="s">
        <v>329</v>
      </c>
      <c r="B8" s="1343"/>
      <c r="C8" s="558">
        <v>2019</v>
      </c>
      <c r="D8" s="467">
        <v>2018</v>
      </c>
    </row>
    <row r="9" spans="1:4">
      <c r="A9" s="1223" t="s">
        <v>961</v>
      </c>
      <c r="B9" s="1223"/>
      <c r="C9" s="727"/>
      <c r="D9" s="968"/>
    </row>
    <row r="10" spans="1:4">
      <c r="A10" s="1242" t="s">
        <v>275</v>
      </c>
      <c r="B10" s="1242"/>
      <c r="C10" s="540">
        <v>894</v>
      </c>
      <c r="D10" s="442">
        <v>862</v>
      </c>
    </row>
    <row r="11" spans="1:4">
      <c r="A11" s="1242" t="s">
        <v>1355</v>
      </c>
      <c r="B11" s="1242"/>
      <c r="C11" s="540"/>
      <c r="D11" s="442">
        <v>-1742</v>
      </c>
    </row>
    <row r="12" spans="1:4">
      <c r="A12" s="1242" t="s">
        <v>974</v>
      </c>
      <c r="B12" s="1242"/>
      <c r="C12" s="540">
        <v>123</v>
      </c>
      <c r="D12" s="442">
        <v>119</v>
      </c>
    </row>
    <row r="13" spans="1:4">
      <c r="A13" s="1242" t="s">
        <v>973</v>
      </c>
      <c r="B13" s="1242"/>
      <c r="C13" s="540">
        <v>179</v>
      </c>
      <c r="D13" s="442">
        <v>170</v>
      </c>
    </row>
    <row r="14" spans="1:4">
      <c r="A14" s="1237" t="s">
        <v>965</v>
      </c>
      <c r="B14" s="1237"/>
      <c r="C14" s="540"/>
      <c r="D14" s="442"/>
    </row>
    <row r="15" spans="1:4">
      <c r="A15" s="1242" t="s">
        <v>275</v>
      </c>
      <c r="B15" s="1242"/>
      <c r="C15" s="540"/>
      <c r="D15" s="442">
        <v>384</v>
      </c>
    </row>
    <row r="16" spans="1:4">
      <c r="A16" s="1242" t="s">
        <v>1355</v>
      </c>
      <c r="B16" s="1242"/>
      <c r="C16" s="540"/>
      <c r="D16" s="442">
        <v>-871</v>
      </c>
    </row>
    <row r="17" spans="1:17">
      <c r="A17" s="1242" t="s">
        <v>974</v>
      </c>
      <c r="B17" s="1242"/>
      <c r="C17" s="540"/>
      <c r="D17" s="442">
        <v>115</v>
      </c>
    </row>
    <row r="18" spans="1:17">
      <c r="A18" s="1242" t="s">
        <v>973</v>
      </c>
      <c r="B18" s="1242"/>
      <c r="C18" s="540"/>
      <c r="D18" s="442">
        <v>107</v>
      </c>
    </row>
    <row r="19" spans="1:17" s="1211" customFormat="1" ht="11.25" customHeight="1">
      <c r="A19" s="1417" t="s">
        <v>276</v>
      </c>
      <c r="B19" s="1417"/>
      <c r="C19" s="1212"/>
      <c r="D19" s="1213"/>
    </row>
    <row r="20" spans="1:17">
      <c r="A20" s="1242" t="s">
        <v>275</v>
      </c>
      <c r="B20" s="1242"/>
      <c r="C20" s="540">
        <v>2371</v>
      </c>
      <c r="D20" s="442">
        <v>2263</v>
      </c>
    </row>
    <row r="21" spans="1:17">
      <c r="A21" s="1242" t="s">
        <v>1355</v>
      </c>
      <c r="B21" s="1242"/>
      <c r="C21" s="540"/>
      <c r="D21" s="442">
        <v>-5716</v>
      </c>
    </row>
    <row r="22" spans="1:17">
      <c r="A22" s="1242" t="s">
        <v>974</v>
      </c>
      <c r="B22" s="1242"/>
      <c r="C22" s="540">
        <v>305</v>
      </c>
      <c r="D22" s="442">
        <v>315</v>
      </c>
    </row>
    <row r="23" spans="1:17">
      <c r="A23" s="1243" t="s">
        <v>973</v>
      </c>
      <c r="B23" s="1243"/>
      <c r="C23" s="536">
        <v>342</v>
      </c>
      <c r="D23" s="433">
        <v>368</v>
      </c>
    </row>
    <row r="24" spans="1:17">
      <c r="A24" s="1241" t="s">
        <v>641</v>
      </c>
      <c r="B24" s="1241"/>
      <c r="C24" s="540">
        <v>4214</v>
      </c>
      <c r="D24" s="442">
        <v>-3627</v>
      </c>
    </row>
    <row r="25" spans="1:17">
      <c r="A25" s="915"/>
      <c r="B25" s="915"/>
      <c r="C25" s="540"/>
      <c r="D25" s="442"/>
    </row>
    <row r="26" spans="1:17">
      <c r="A26" s="1223" t="s">
        <v>1430</v>
      </c>
      <c r="B26" s="1223"/>
      <c r="C26" s="540"/>
      <c r="D26" s="442"/>
    </row>
    <row r="27" spans="1:17">
      <c r="A27" s="1411" t="s">
        <v>1146</v>
      </c>
      <c r="B27" s="1411"/>
      <c r="C27" s="540">
        <v>172</v>
      </c>
      <c r="D27" s="442">
        <v>175</v>
      </c>
    </row>
    <row r="28" spans="1:17">
      <c r="A28" s="1411" t="s">
        <v>1196</v>
      </c>
      <c r="B28" s="1411"/>
      <c r="C28" s="540">
        <v>117</v>
      </c>
      <c r="D28" s="442">
        <v>119</v>
      </c>
      <c r="E28" s="694"/>
      <c r="F28" s="694"/>
      <c r="G28" s="694"/>
      <c r="H28" s="694"/>
      <c r="I28" s="694"/>
      <c r="J28" s="694"/>
      <c r="K28" s="694"/>
      <c r="L28" s="694"/>
      <c r="M28" s="694"/>
      <c r="N28" s="694"/>
      <c r="O28" s="694"/>
      <c r="P28" s="694"/>
      <c r="Q28" s="694"/>
    </row>
    <row r="29" spans="1:17">
      <c r="A29" s="1411" t="s">
        <v>809</v>
      </c>
      <c r="B29" s="1411"/>
      <c r="C29" s="540">
        <v>92</v>
      </c>
      <c r="D29" s="442">
        <v>96</v>
      </c>
    </row>
    <row r="30" spans="1:17">
      <c r="A30" s="1411" t="s">
        <v>1085</v>
      </c>
      <c r="B30" s="1411"/>
      <c r="C30" s="540">
        <v>81</v>
      </c>
      <c r="D30" s="442">
        <v>82</v>
      </c>
    </row>
    <row r="31" spans="1:17">
      <c r="A31" s="1411" t="s">
        <v>1195</v>
      </c>
      <c r="B31" s="1411"/>
      <c r="C31" s="540">
        <v>77</v>
      </c>
      <c r="D31" s="442">
        <v>78</v>
      </c>
      <c r="E31" s="694"/>
      <c r="F31" s="694"/>
      <c r="G31" s="694"/>
      <c r="H31" s="694"/>
      <c r="I31" s="694"/>
      <c r="J31" s="694"/>
      <c r="K31" s="694"/>
      <c r="L31" s="694"/>
      <c r="M31" s="694"/>
      <c r="N31" s="694"/>
      <c r="O31" s="694"/>
      <c r="P31" s="694"/>
      <c r="Q31" s="694"/>
    </row>
    <row r="32" spans="1:17">
      <c r="A32" s="1411" t="s">
        <v>1194</v>
      </c>
      <c r="B32" s="1411"/>
      <c r="C32" s="540">
        <v>81</v>
      </c>
      <c r="D32" s="442">
        <v>82</v>
      </c>
      <c r="E32" s="694"/>
      <c r="F32" s="694"/>
      <c r="G32" s="694"/>
      <c r="H32" s="694"/>
      <c r="I32" s="694"/>
      <c r="J32" s="694"/>
      <c r="K32" s="694"/>
      <c r="L32" s="694"/>
      <c r="M32" s="694"/>
      <c r="N32" s="694"/>
      <c r="O32" s="694"/>
      <c r="P32" s="694"/>
      <c r="Q32" s="694"/>
    </row>
    <row r="33" spans="1:17">
      <c r="A33" s="1411" t="s">
        <v>1054</v>
      </c>
      <c r="B33" s="1411"/>
      <c r="C33" s="540">
        <v>91</v>
      </c>
      <c r="D33" s="442">
        <v>94</v>
      </c>
    </row>
    <row r="34" spans="1:17">
      <c r="A34" s="1416" t="s">
        <v>868</v>
      </c>
      <c r="B34" s="1416"/>
      <c r="C34" s="536">
        <v>97</v>
      </c>
      <c r="D34" s="433">
        <v>103</v>
      </c>
    </row>
    <row r="35" spans="1:17">
      <c r="A35" s="1241" t="s">
        <v>641</v>
      </c>
      <c r="B35" s="1241"/>
      <c r="C35" s="540">
        <v>806</v>
      </c>
      <c r="D35" s="442">
        <v>829</v>
      </c>
    </row>
    <row r="36" spans="1:17">
      <c r="A36" s="916"/>
      <c r="B36" s="916"/>
      <c r="C36" s="536"/>
      <c r="D36" s="433"/>
    </row>
    <row r="37" spans="1:17">
      <c r="A37" s="1413" t="s">
        <v>960</v>
      </c>
      <c r="B37" s="1414"/>
      <c r="C37" s="1183">
        <v>5020</v>
      </c>
      <c r="D37" s="1184">
        <v>-2798</v>
      </c>
    </row>
    <row r="38" spans="1:17">
      <c r="A38" s="336"/>
      <c r="B38" s="336"/>
      <c r="C38" s="250"/>
      <c r="D38" s="220"/>
    </row>
    <row r="39" spans="1:17" ht="21.75" customHeight="1">
      <c r="A39" s="1246" t="s">
        <v>1594</v>
      </c>
      <c r="B39" s="1246"/>
      <c r="C39" s="1246"/>
      <c r="D39" s="1246"/>
      <c r="E39" s="794"/>
      <c r="F39" s="794"/>
      <c r="G39" s="794"/>
      <c r="H39" s="794"/>
      <c r="I39" s="794"/>
      <c r="J39" s="794"/>
      <c r="K39" s="794"/>
      <c r="L39" s="794"/>
      <c r="M39" s="794"/>
      <c r="N39" s="794"/>
      <c r="O39" s="794"/>
      <c r="P39" s="794"/>
      <c r="Q39" s="794"/>
    </row>
    <row r="40" spans="1:17">
      <c r="A40" s="1136"/>
      <c r="B40" s="1136"/>
      <c r="C40" s="1142"/>
      <c r="D40" s="228"/>
      <c r="E40" s="794"/>
      <c r="F40" s="794"/>
      <c r="G40" s="794"/>
      <c r="H40" s="794"/>
      <c r="I40" s="794"/>
      <c r="J40" s="794"/>
      <c r="K40" s="794"/>
      <c r="L40" s="794"/>
      <c r="M40" s="794"/>
      <c r="N40" s="794"/>
      <c r="O40" s="794"/>
      <c r="P40" s="794"/>
      <c r="Q40" s="794"/>
    </row>
    <row r="41" spans="1:17" ht="22.5" customHeight="1">
      <c r="A41" s="1302" t="s">
        <v>1725</v>
      </c>
      <c r="B41" s="1302"/>
      <c r="C41" s="1302"/>
      <c r="D41" s="1302"/>
    </row>
    <row r="42" spans="1:17">
      <c r="A42" s="1077"/>
      <c r="B42" s="1077"/>
      <c r="C42" s="1077"/>
      <c r="D42" s="1077"/>
    </row>
    <row r="43" spans="1:17" ht="33" customHeight="1">
      <c r="A43" s="1246" t="s">
        <v>1175</v>
      </c>
      <c r="B43" s="1246"/>
      <c r="C43" s="1246"/>
      <c r="D43" s="1246"/>
    </row>
    <row r="44" spans="1:17">
      <c r="A44" s="336"/>
      <c r="B44" s="336"/>
      <c r="C44" s="220"/>
      <c r="D44" s="220"/>
    </row>
    <row r="45" spans="1:17">
      <c r="A45" s="1347" t="s">
        <v>755</v>
      </c>
      <c r="B45" s="1347"/>
      <c r="C45" s="1347"/>
      <c r="D45" s="1347"/>
    </row>
    <row r="46" spans="1:17" ht="11.25" customHeight="1">
      <c r="A46" s="377"/>
      <c r="B46" s="378"/>
      <c r="C46" s="379"/>
      <c r="D46" s="379"/>
    </row>
    <row r="47" spans="1:17">
      <c r="A47" s="1406" t="s">
        <v>700</v>
      </c>
      <c r="B47" s="1412"/>
      <c r="C47" s="576">
        <v>2019</v>
      </c>
      <c r="D47" s="370">
        <v>2018</v>
      </c>
    </row>
    <row r="48" spans="1:17" ht="11.25" customHeight="1">
      <c r="A48" s="1223" t="s">
        <v>962</v>
      </c>
      <c r="B48" s="1223"/>
      <c r="C48" s="727">
        <v>31</v>
      </c>
      <c r="D48" s="968">
        <v>40</v>
      </c>
    </row>
    <row r="49" spans="1:4" ht="11.25" customHeight="1">
      <c r="A49" s="1223" t="s">
        <v>937</v>
      </c>
      <c r="B49" s="1223"/>
      <c r="C49" s="727">
        <v>35</v>
      </c>
      <c r="D49" s="968">
        <v>27</v>
      </c>
    </row>
    <row r="50" spans="1:4" ht="11.25" customHeight="1">
      <c r="A50" s="1223" t="s">
        <v>938</v>
      </c>
      <c r="B50" s="1223"/>
      <c r="C50" s="727">
        <v>8</v>
      </c>
      <c r="D50" s="968">
        <v>10</v>
      </c>
    </row>
    <row r="51" spans="1:4" ht="11.25" customHeight="1">
      <c r="A51" s="1223" t="s">
        <v>939</v>
      </c>
      <c r="B51" s="1223"/>
      <c r="C51" s="727">
        <v>2</v>
      </c>
      <c r="D51" s="968"/>
    </row>
    <row r="52" spans="1:4" ht="11.25" customHeight="1">
      <c r="A52" s="1223" t="s">
        <v>940</v>
      </c>
      <c r="B52" s="1223"/>
      <c r="C52" s="727">
        <v>5</v>
      </c>
      <c r="D52" s="968">
        <v>7</v>
      </c>
    </row>
    <row r="53" spans="1:4">
      <c r="A53" s="984"/>
      <c r="B53" s="984"/>
      <c r="C53" s="228"/>
      <c r="D53" s="228"/>
    </row>
    <row r="54" spans="1:4" ht="11.25" customHeight="1">
      <c r="A54" s="1246" t="s">
        <v>1559</v>
      </c>
      <c r="B54" s="1246"/>
      <c r="C54" s="1246"/>
      <c r="D54" s="1246"/>
    </row>
    <row r="55" spans="1:4">
      <c r="A55" s="336"/>
      <c r="B55" s="336"/>
      <c r="C55" s="220"/>
      <c r="D55" s="220"/>
    </row>
  </sheetData>
  <mergeCells count="43">
    <mergeCell ref="A10:B10"/>
    <mergeCell ref="A11:B11"/>
    <mergeCell ref="A12:B12"/>
    <mergeCell ref="A34:B34"/>
    <mergeCell ref="A20:B20"/>
    <mergeCell ref="A13:B13"/>
    <mergeCell ref="A15:B15"/>
    <mergeCell ref="A16:B16"/>
    <mergeCell ref="A18:B18"/>
    <mergeCell ref="A17:B17"/>
    <mergeCell ref="A21:B21"/>
    <mergeCell ref="A26:B26"/>
    <mergeCell ref="A14:B14"/>
    <mergeCell ref="A19:B19"/>
    <mergeCell ref="A24:B24"/>
    <mergeCell ref="A30:B30"/>
    <mergeCell ref="A1:D1"/>
    <mergeCell ref="A9:B9"/>
    <mergeCell ref="A5:B5"/>
    <mergeCell ref="A8:B8"/>
    <mergeCell ref="A3:D3"/>
    <mergeCell ref="C7:D7"/>
    <mergeCell ref="A31:B31"/>
    <mergeCell ref="A32:B32"/>
    <mergeCell ref="A22:B22"/>
    <mergeCell ref="A23:B23"/>
    <mergeCell ref="A27:B27"/>
    <mergeCell ref="A28:B28"/>
    <mergeCell ref="A29:B29"/>
    <mergeCell ref="A54:D54"/>
    <mergeCell ref="A52:B52"/>
    <mergeCell ref="A51:B51"/>
    <mergeCell ref="A35:B35"/>
    <mergeCell ref="A33:B33"/>
    <mergeCell ref="A50:B50"/>
    <mergeCell ref="A45:D45"/>
    <mergeCell ref="A47:B47"/>
    <mergeCell ref="A48:B48"/>
    <mergeCell ref="A37:B37"/>
    <mergeCell ref="A49:B49"/>
    <mergeCell ref="A39:D39"/>
    <mergeCell ref="A41:D41"/>
    <mergeCell ref="A43:D43"/>
  </mergeCells>
  <phoneticPr fontId="0" type="noConversion"/>
  <pageMargins left="0.74803149606299213" right="0.74803149606299213" top="0.98425196850393704" bottom="0.98425196850393704" header="0.51181102362204722" footer="0.51181102362204722"/>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9"/>
  <dimension ref="A1:Q237"/>
  <sheetViews>
    <sheetView zoomScaleNormal="100" workbookViewId="0">
      <selection sqref="A1:G1"/>
    </sheetView>
  </sheetViews>
  <sheetFormatPr defaultColWidth="8.6640625" defaultRowHeight="11.25"/>
  <cols>
    <col min="1" max="1" width="25.5" style="205" customWidth="1"/>
    <col min="2" max="2" width="37.6640625" style="929" customWidth="1"/>
    <col min="3" max="3" width="13.33203125" style="929" customWidth="1"/>
    <col min="4" max="7" width="13.33203125" style="205" customWidth="1"/>
    <col min="8" max="8" width="7" style="1025" customWidth="1"/>
    <col min="9" max="17" width="3.6640625" style="1025" customWidth="1"/>
    <col min="18" max="16384" width="8.6640625" style="1151"/>
  </cols>
  <sheetData>
    <row r="1" spans="1:7" ht="15.75" customHeight="1">
      <c r="A1" s="1433" t="s">
        <v>1505</v>
      </c>
      <c r="B1" s="1433"/>
      <c r="C1" s="1433"/>
      <c r="D1" s="1226"/>
      <c r="E1" s="1226"/>
      <c r="F1" s="1226"/>
      <c r="G1" s="1226"/>
    </row>
    <row r="2" spans="1:7" ht="12" customHeight="1">
      <c r="A2" s="605"/>
      <c r="B2" s="605"/>
      <c r="C2" s="605"/>
      <c r="D2" s="985"/>
      <c r="E2" s="985"/>
      <c r="F2" s="985"/>
      <c r="G2" s="985"/>
    </row>
    <row r="3" spans="1:7" ht="12.75" customHeight="1">
      <c r="A3" s="1420" t="s">
        <v>1059</v>
      </c>
      <c r="B3" s="1420"/>
      <c r="C3" s="1420"/>
      <c r="D3" s="1420"/>
      <c r="E3" s="1420"/>
      <c r="F3" s="1420"/>
      <c r="G3" s="1420"/>
    </row>
    <row r="4" spans="1:7" ht="12.75" customHeight="1">
      <c r="A4" s="923"/>
      <c r="B4" s="923"/>
      <c r="C4" s="923"/>
      <c r="D4" s="935"/>
      <c r="E4" s="935"/>
      <c r="F4" s="935"/>
      <c r="G4" s="935"/>
    </row>
    <row r="5" spans="1:7" ht="22.5" customHeight="1">
      <c r="A5" s="1246" t="s">
        <v>1060</v>
      </c>
      <c r="B5" s="1246"/>
      <c r="C5" s="1246"/>
      <c r="D5" s="1246"/>
      <c r="E5" s="1246"/>
      <c r="F5" s="1246"/>
      <c r="G5" s="1246"/>
    </row>
    <row r="6" spans="1:7">
      <c r="A6" s="606"/>
      <c r="B6" s="606"/>
      <c r="C6" s="606"/>
      <c r="D6" s="933"/>
      <c r="E6" s="933"/>
      <c r="F6" s="933"/>
      <c r="G6" s="933"/>
    </row>
    <row r="7" spans="1:7" ht="22.5" customHeight="1">
      <c r="A7" s="1246" t="s">
        <v>1689</v>
      </c>
      <c r="B7" s="1246"/>
      <c r="C7" s="1246"/>
      <c r="D7" s="1246"/>
      <c r="E7" s="1246"/>
      <c r="F7" s="1246"/>
      <c r="G7" s="1246"/>
    </row>
    <row r="8" spans="1:7">
      <c r="A8" s="606"/>
      <c r="B8" s="606"/>
      <c r="C8" s="606"/>
      <c r="D8" s="933"/>
      <c r="E8" s="933"/>
      <c r="F8" s="933"/>
      <c r="G8" s="933"/>
    </row>
    <row r="9" spans="1:7" ht="22.5" customHeight="1">
      <c r="A9" s="1246" t="s">
        <v>1442</v>
      </c>
      <c r="B9" s="1246"/>
      <c r="C9" s="1246"/>
      <c r="D9" s="1246"/>
      <c r="E9" s="1246"/>
      <c r="F9" s="1246"/>
      <c r="G9" s="1246"/>
    </row>
    <row r="10" spans="1:7">
      <c r="A10" s="606"/>
      <c r="B10" s="606"/>
      <c r="C10" s="606"/>
      <c r="D10" s="933"/>
      <c r="E10" s="933"/>
      <c r="F10" s="933"/>
      <c r="G10" s="933"/>
    </row>
    <row r="11" spans="1:7">
      <c r="A11" s="1434" t="s">
        <v>1061</v>
      </c>
      <c r="B11" s="1434"/>
      <c r="C11" s="1434"/>
      <c r="D11" s="1434"/>
      <c r="E11" s="1434"/>
      <c r="F11" s="1434"/>
      <c r="G11" s="1434"/>
    </row>
    <row r="12" spans="1:7">
      <c r="A12" s="736"/>
      <c r="B12" s="736"/>
      <c r="C12" s="736"/>
      <c r="D12" s="928"/>
      <c r="E12" s="928"/>
      <c r="F12" s="928"/>
      <c r="G12" s="928"/>
    </row>
    <row r="13" spans="1:7" ht="78.75" customHeight="1">
      <c r="A13" s="1246" t="s">
        <v>1443</v>
      </c>
      <c r="B13" s="1246"/>
      <c r="C13" s="1246"/>
      <c r="D13" s="1246"/>
      <c r="E13" s="1246"/>
      <c r="F13" s="1246"/>
      <c r="G13" s="1246"/>
    </row>
    <row r="14" spans="1:7">
      <c r="A14" s="606"/>
      <c r="B14" s="606"/>
      <c r="C14" s="606"/>
      <c r="D14" s="857"/>
      <c r="E14" s="857"/>
      <c r="F14" s="857"/>
      <c r="G14" s="857"/>
    </row>
    <row r="15" spans="1:7" ht="57" customHeight="1">
      <c r="A15" s="1246" t="s">
        <v>1444</v>
      </c>
      <c r="B15" s="1246"/>
      <c r="C15" s="1246"/>
      <c r="D15" s="1246"/>
      <c r="E15" s="1246"/>
      <c r="F15" s="1246"/>
      <c r="G15" s="1246"/>
    </row>
    <row r="16" spans="1:7">
      <c r="A16" s="606"/>
      <c r="B16" s="606"/>
      <c r="C16" s="606"/>
      <c r="D16" s="857"/>
      <c r="E16" s="857"/>
      <c r="F16" s="857"/>
      <c r="G16" s="857"/>
    </row>
    <row r="17" spans="1:7" ht="78.75" customHeight="1">
      <c r="A17" s="1246" t="s">
        <v>1646</v>
      </c>
      <c r="B17" s="1246"/>
      <c r="C17" s="1246"/>
      <c r="D17" s="1246"/>
      <c r="E17" s="1246"/>
      <c r="F17" s="1246"/>
      <c r="G17" s="1246"/>
    </row>
    <row r="18" spans="1:7">
      <c r="A18" s="606"/>
      <c r="B18" s="606"/>
      <c r="C18" s="606"/>
      <c r="D18" s="857"/>
      <c r="E18" s="857"/>
      <c r="F18" s="857"/>
      <c r="G18" s="857"/>
    </row>
    <row r="19" spans="1:7" ht="45" customHeight="1">
      <c r="A19" s="1246" t="s">
        <v>1445</v>
      </c>
      <c r="B19" s="1246"/>
      <c r="C19" s="1246"/>
      <c r="D19" s="1246"/>
      <c r="E19" s="1246"/>
      <c r="F19" s="1246"/>
      <c r="G19" s="1246"/>
    </row>
    <row r="20" spans="1:7">
      <c r="A20" s="606"/>
      <c r="B20" s="606"/>
      <c r="C20" s="606"/>
      <c r="D20" s="857"/>
      <c r="E20" s="857"/>
      <c r="F20" s="857"/>
      <c r="G20" s="857"/>
    </row>
    <row r="21" spans="1:7" ht="11.25" customHeight="1">
      <c r="A21" s="1246" t="s">
        <v>1606</v>
      </c>
      <c r="B21" s="1246"/>
      <c r="C21" s="1246"/>
      <c r="D21" s="1246"/>
      <c r="E21" s="1246"/>
      <c r="F21" s="1246"/>
      <c r="G21" s="1246"/>
    </row>
    <row r="22" spans="1:7">
      <c r="A22" s="606"/>
      <c r="B22" s="606"/>
      <c r="C22" s="606"/>
      <c r="D22" s="857"/>
      <c r="E22" s="857"/>
      <c r="F22" s="857"/>
      <c r="G22" s="857"/>
    </row>
    <row r="23" spans="1:7" ht="45" customHeight="1">
      <c r="A23" s="1302" t="s">
        <v>1627</v>
      </c>
      <c r="B23" s="1302"/>
      <c r="C23" s="1302"/>
      <c r="D23" s="1302"/>
      <c r="E23" s="1302"/>
      <c r="F23" s="1302"/>
      <c r="G23" s="1302"/>
    </row>
    <row r="24" spans="1:7">
      <c r="A24" s="857"/>
      <c r="B24" s="857"/>
      <c r="C24" s="857"/>
      <c r="D24" s="857"/>
      <c r="E24" s="857"/>
      <c r="F24" s="857"/>
      <c r="G24" s="857"/>
    </row>
    <row r="25" spans="1:7" ht="45" customHeight="1">
      <c r="A25" s="1246" t="s">
        <v>1714</v>
      </c>
      <c r="B25" s="1246"/>
      <c r="C25" s="1246"/>
      <c r="D25" s="1246"/>
      <c r="E25" s="1246"/>
      <c r="F25" s="1246"/>
      <c r="G25" s="1246"/>
    </row>
    <row r="26" spans="1:7">
      <c r="A26" s="857"/>
      <c r="B26" s="857"/>
      <c r="C26" s="857"/>
      <c r="D26" s="857"/>
      <c r="E26" s="857"/>
      <c r="F26" s="857"/>
      <c r="G26" s="857"/>
    </row>
    <row r="27" spans="1:7" ht="33.75" customHeight="1">
      <c r="A27" s="1246" t="s">
        <v>1605</v>
      </c>
      <c r="B27" s="1246"/>
      <c r="C27" s="1246"/>
      <c r="D27" s="1246"/>
      <c r="E27" s="1246"/>
      <c r="F27" s="1246"/>
      <c r="G27" s="1246"/>
    </row>
    <row r="28" spans="1:7">
      <c r="A28" s="857"/>
      <c r="B28" s="857"/>
      <c r="C28" s="857"/>
      <c r="D28" s="857"/>
      <c r="E28" s="857"/>
      <c r="F28" s="857"/>
      <c r="G28" s="857"/>
    </row>
    <row r="29" spans="1:7" ht="22.5" customHeight="1">
      <c r="A29" s="1246" t="s">
        <v>1716</v>
      </c>
      <c r="B29" s="1246"/>
      <c r="C29" s="1246"/>
      <c r="D29" s="1246"/>
      <c r="E29" s="1246"/>
      <c r="F29" s="1246"/>
      <c r="G29" s="1246"/>
    </row>
    <row r="30" spans="1:7" s="1206" customFormat="1" ht="11.25" customHeight="1">
      <c r="A30" s="1214"/>
      <c r="B30" s="1214"/>
      <c r="C30" s="1214"/>
      <c r="D30" s="1214"/>
      <c r="E30" s="1214"/>
      <c r="F30" s="1214"/>
      <c r="G30" s="1214"/>
    </row>
    <row r="31" spans="1:7" ht="34.5" customHeight="1">
      <c r="A31" s="986"/>
      <c r="B31" s="986"/>
      <c r="C31" s="1425" t="s">
        <v>1450</v>
      </c>
      <c r="D31" s="1425"/>
      <c r="E31" s="1425" t="s">
        <v>1451</v>
      </c>
      <c r="F31" s="1425"/>
      <c r="G31" s="1129"/>
    </row>
    <row r="32" spans="1:7" ht="33.75">
      <c r="A32" s="987" t="s">
        <v>700</v>
      </c>
      <c r="B32" s="987"/>
      <c r="C32" s="934" t="s">
        <v>1597</v>
      </c>
      <c r="D32" s="934" t="s">
        <v>1598</v>
      </c>
      <c r="E32" s="934" t="s">
        <v>1597</v>
      </c>
      <c r="F32" s="934" t="s">
        <v>1598</v>
      </c>
      <c r="G32" s="934" t="s">
        <v>90</v>
      </c>
    </row>
    <row r="33" spans="1:17">
      <c r="A33" s="950" t="s">
        <v>1446</v>
      </c>
      <c r="B33" s="950"/>
      <c r="C33" s="727">
        <v>77</v>
      </c>
      <c r="D33" s="727">
        <v>152</v>
      </c>
      <c r="E33" s="727">
        <v>338</v>
      </c>
      <c r="F33" s="727">
        <v>512</v>
      </c>
      <c r="G33" s="727">
        <v>249</v>
      </c>
    </row>
    <row r="34" spans="1:17">
      <c r="A34" s="950" t="s">
        <v>1448</v>
      </c>
      <c r="B34" s="950"/>
      <c r="C34" s="727">
        <v>119</v>
      </c>
      <c r="D34" s="727">
        <v>48</v>
      </c>
      <c r="E34" s="727">
        <v>304</v>
      </c>
      <c r="F34" s="727">
        <v>17</v>
      </c>
      <c r="G34" s="727">
        <v>358</v>
      </c>
    </row>
    <row r="35" spans="1:17">
      <c r="A35" s="950" t="s">
        <v>1447</v>
      </c>
      <c r="B35" s="950"/>
      <c r="C35" s="727">
        <v>50</v>
      </c>
      <c r="D35" s="727">
        <v>14</v>
      </c>
      <c r="E35" s="727">
        <v>72</v>
      </c>
      <c r="F35" s="727"/>
      <c r="G35" s="727">
        <v>108</v>
      </c>
    </row>
    <row r="36" spans="1:17">
      <c r="A36" s="950" t="s">
        <v>1539</v>
      </c>
      <c r="B36" s="950"/>
      <c r="C36" s="727">
        <v>32</v>
      </c>
      <c r="D36" s="727">
        <v>26</v>
      </c>
      <c r="E36" s="727">
        <v>70</v>
      </c>
      <c r="F36" s="727"/>
      <c r="G36" s="727">
        <v>76</v>
      </c>
    </row>
    <row r="37" spans="1:17">
      <c r="A37" s="1066" t="s">
        <v>1540</v>
      </c>
      <c r="B37" s="1066"/>
      <c r="C37" s="727">
        <v>24</v>
      </c>
      <c r="D37" s="727">
        <v>18</v>
      </c>
      <c r="E37" s="727">
        <v>8</v>
      </c>
      <c r="F37" s="727">
        <v>71</v>
      </c>
      <c r="G37" s="727">
        <v>56</v>
      </c>
      <c r="H37" s="1068"/>
      <c r="I37" s="1068"/>
      <c r="J37" s="1068"/>
      <c r="K37" s="1068"/>
      <c r="L37" s="1068"/>
      <c r="M37" s="1068"/>
      <c r="N37" s="1068"/>
      <c r="O37" s="1068"/>
      <c r="P37" s="1068"/>
      <c r="Q37" s="1068"/>
    </row>
    <row r="38" spans="1:17">
      <c r="A38" s="1066" t="s">
        <v>1449</v>
      </c>
      <c r="B38" s="1066"/>
      <c r="C38" s="727">
        <v>11</v>
      </c>
      <c r="D38" s="727">
        <v>7</v>
      </c>
      <c r="E38" s="727">
        <v>9</v>
      </c>
      <c r="F38" s="727">
        <v>25</v>
      </c>
      <c r="G38" s="727">
        <v>12</v>
      </c>
      <c r="H38" s="1068"/>
      <c r="I38" s="1068"/>
      <c r="J38" s="1068"/>
      <c r="K38" s="1068"/>
      <c r="L38" s="1068"/>
      <c r="M38" s="1068"/>
      <c r="N38" s="1068"/>
      <c r="O38" s="1068"/>
      <c r="P38" s="1068"/>
      <c r="Q38" s="1068"/>
    </row>
    <row r="39" spans="1:17">
      <c r="A39" s="1138"/>
      <c r="B39" s="1138"/>
      <c r="C39" s="1138"/>
      <c r="D39" s="1138"/>
      <c r="E39" s="1138"/>
      <c r="F39" s="1138"/>
      <c r="G39" s="1138"/>
    </row>
    <row r="40" spans="1:17" ht="22.5" customHeight="1">
      <c r="A40" s="1321" t="s">
        <v>1715</v>
      </c>
      <c r="B40" s="1321"/>
      <c r="C40" s="1321"/>
      <c r="D40" s="1321"/>
      <c r="E40" s="1321"/>
      <c r="F40" s="1321"/>
      <c r="G40" s="1321"/>
    </row>
    <row r="41" spans="1:17">
      <c r="A41" s="865"/>
      <c r="B41" s="930"/>
      <c r="C41" s="930"/>
      <c r="D41" s="865"/>
      <c r="E41" s="865"/>
      <c r="F41" s="865"/>
      <c r="G41" s="865"/>
    </row>
    <row r="42" spans="1:17" ht="20.25" customHeight="1">
      <c r="A42" s="1027" t="s">
        <v>700</v>
      </c>
      <c r="B42" s="1027"/>
      <c r="C42" s="1027"/>
      <c r="D42" s="1028"/>
      <c r="E42" s="934" t="s">
        <v>1200</v>
      </c>
      <c r="F42" s="934" t="s">
        <v>1452</v>
      </c>
      <c r="G42" s="934" t="s">
        <v>90</v>
      </c>
    </row>
    <row r="43" spans="1:17">
      <c r="A43" s="1241" t="s">
        <v>1533</v>
      </c>
      <c r="B43" s="1241"/>
      <c r="C43" s="1241"/>
      <c r="D43" s="1241"/>
      <c r="E43" s="727"/>
      <c r="F43" s="727"/>
      <c r="G43" s="727"/>
    </row>
    <row r="44" spans="1:17">
      <c r="A44" s="1237" t="s">
        <v>822</v>
      </c>
      <c r="B44" s="1237"/>
      <c r="C44" s="1237"/>
      <c r="D44" s="1237"/>
      <c r="E44" s="727">
        <v>35</v>
      </c>
      <c r="F44" s="727">
        <v>391</v>
      </c>
      <c r="G44" s="727">
        <v>356</v>
      </c>
    </row>
    <row r="45" spans="1:17">
      <c r="A45" s="1288" t="s">
        <v>4</v>
      </c>
      <c r="B45" s="1288"/>
      <c r="C45" s="1288"/>
      <c r="D45" s="1288"/>
      <c r="E45" s="727">
        <v>48</v>
      </c>
      <c r="F45" s="727">
        <v>93</v>
      </c>
      <c r="G45" s="727">
        <v>46</v>
      </c>
    </row>
    <row r="46" spans="1:17">
      <c r="A46" s="1281" t="s">
        <v>824</v>
      </c>
      <c r="B46" s="1281"/>
      <c r="C46" s="1281"/>
      <c r="D46" s="1281"/>
      <c r="E46" s="727">
        <v>103</v>
      </c>
      <c r="F46" s="727"/>
      <c r="G46" s="727">
        <v>103</v>
      </c>
    </row>
    <row r="47" spans="1:17">
      <c r="A47" s="1237" t="s">
        <v>1541</v>
      </c>
      <c r="B47" s="1237"/>
      <c r="C47" s="1237"/>
      <c r="D47" s="1237"/>
      <c r="E47" s="727"/>
      <c r="F47" s="727">
        <v>52</v>
      </c>
      <c r="G47" s="727">
        <v>52</v>
      </c>
    </row>
    <row r="48" spans="1:17">
      <c r="A48" s="1288" t="s">
        <v>823</v>
      </c>
      <c r="B48" s="1288"/>
      <c r="C48" s="1288"/>
      <c r="D48" s="1288"/>
      <c r="E48" s="727"/>
      <c r="F48" s="727">
        <v>41</v>
      </c>
      <c r="G48" s="727">
        <v>41</v>
      </c>
    </row>
    <row r="49" spans="1:17">
      <c r="A49" s="1281" t="s">
        <v>825</v>
      </c>
      <c r="B49" s="1281"/>
      <c r="C49" s="1281"/>
      <c r="D49" s="1281"/>
      <c r="E49" s="727">
        <v>1</v>
      </c>
      <c r="F49" s="727">
        <v>32</v>
      </c>
      <c r="G49" s="727">
        <v>31</v>
      </c>
    </row>
    <row r="50" spans="1:17">
      <c r="A50" s="1281" t="s">
        <v>648</v>
      </c>
      <c r="B50" s="1281"/>
      <c r="C50" s="1281"/>
      <c r="D50" s="1281"/>
      <c r="E50" s="727"/>
      <c r="F50" s="727">
        <v>13</v>
      </c>
      <c r="G50" s="727">
        <v>13</v>
      </c>
    </row>
    <row r="51" spans="1:17">
      <c r="A51" s="1281" t="s">
        <v>1542</v>
      </c>
      <c r="B51" s="1281"/>
      <c r="C51" s="1281"/>
      <c r="D51" s="1281"/>
      <c r="E51" s="727"/>
      <c r="F51" s="727">
        <v>11</v>
      </c>
      <c r="G51" s="727">
        <v>11</v>
      </c>
      <c r="H51" s="1086"/>
      <c r="I51" s="1086"/>
      <c r="J51" s="1086"/>
      <c r="K51" s="1086"/>
      <c r="L51" s="1086"/>
      <c r="M51" s="1086"/>
      <c r="N51" s="1086"/>
      <c r="O51" s="1086"/>
      <c r="P51" s="1086"/>
      <c r="Q51" s="1086"/>
    </row>
    <row r="52" spans="1:17">
      <c r="A52" s="1255" t="s">
        <v>1719</v>
      </c>
      <c r="B52" s="1255"/>
      <c r="C52" s="1255"/>
      <c r="D52" s="1255"/>
      <c r="E52" s="1070">
        <v>2</v>
      </c>
      <c r="F52" s="969">
        <v>5</v>
      </c>
      <c r="G52" s="969">
        <v>7</v>
      </c>
    </row>
    <row r="53" spans="1:17">
      <c r="A53" s="1422"/>
      <c r="B53" s="1422"/>
      <c r="C53" s="1422"/>
      <c r="D53" s="1422"/>
      <c r="E53" s="727"/>
      <c r="F53" s="727"/>
      <c r="G53" s="727"/>
    </row>
    <row r="54" spans="1:17">
      <c r="A54" s="1241" t="s">
        <v>1453</v>
      </c>
      <c r="B54" s="1241"/>
      <c r="C54" s="1241"/>
      <c r="D54" s="1241"/>
      <c r="E54" s="727"/>
      <c r="F54" s="727"/>
      <c r="G54" s="727"/>
    </row>
    <row r="55" spans="1:17">
      <c r="A55" s="1255" t="s">
        <v>5</v>
      </c>
      <c r="B55" s="1255"/>
      <c r="C55" s="1255"/>
      <c r="D55" s="1255"/>
      <c r="E55" s="1070" t="s">
        <v>1721</v>
      </c>
      <c r="F55" s="969"/>
      <c r="G55" s="969">
        <v>246</v>
      </c>
    </row>
    <row r="56" spans="1:17">
      <c r="A56" s="1414" t="s">
        <v>641</v>
      </c>
      <c r="B56" s="1414"/>
      <c r="C56" s="1414"/>
      <c r="D56" s="1414"/>
      <c r="E56" s="1191">
        <v>435</v>
      </c>
      <c r="F56" s="1192">
        <v>639</v>
      </c>
      <c r="G56" s="1192">
        <v>906</v>
      </c>
    </row>
    <row r="57" spans="1:17">
      <c r="A57" s="599"/>
      <c r="B57" s="599"/>
      <c r="C57" s="599"/>
      <c r="D57" s="859"/>
      <c r="E57" s="859"/>
      <c r="F57" s="859"/>
      <c r="G57" s="859"/>
    </row>
    <row r="58" spans="1:17" s="1193" customFormat="1">
      <c r="A58" s="1246" t="s">
        <v>1723</v>
      </c>
      <c r="B58" s="1246"/>
      <c r="C58" s="1246"/>
      <c r="D58" s="1246"/>
      <c r="E58" s="1246"/>
      <c r="F58" s="1246"/>
      <c r="G58" s="1246"/>
    </row>
    <row r="59" spans="1:17">
      <c r="A59" s="1246" t="s">
        <v>1722</v>
      </c>
      <c r="B59" s="1246"/>
      <c r="C59" s="1246"/>
      <c r="D59" s="1246"/>
      <c r="E59" s="1246"/>
      <c r="F59" s="1246"/>
      <c r="G59" s="1246"/>
    </row>
    <row r="60" spans="1:17">
      <c r="A60" s="599"/>
      <c r="B60" s="599"/>
      <c r="C60" s="599"/>
      <c r="D60" s="859"/>
      <c r="E60" s="859"/>
      <c r="F60" s="859"/>
      <c r="G60" s="859"/>
    </row>
    <row r="61" spans="1:17" ht="22.5" customHeight="1">
      <c r="A61" s="1246" t="s">
        <v>1564</v>
      </c>
      <c r="B61" s="1246"/>
      <c r="C61" s="1246"/>
      <c r="D61" s="1246"/>
      <c r="E61" s="1246"/>
      <c r="F61" s="1246"/>
      <c r="G61" s="1246"/>
    </row>
    <row r="62" spans="1:17">
      <c r="A62" s="986"/>
      <c r="B62" s="986"/>
      <c r="C62" s="986"/>
      <c r="D62" s="857"/>
      <c r="E62" s="857"/>
      <c r="F62" s="857"/>
      <c r="G62" s="857"/>
    </row>
    <row r="63" spans="1:17">
      <c r="A63" s="1246" t="s">
        <v>1717</v>
      </c>
      <c r="B63" s="1246"/>
      <c r="C63" s="1246"/>
      <c r="D63" s="1246"/>
      <c r="E63" s="1246"/>
      <c r="F63" s="1246"/>
      <c r="G63" s="1246"/>
    </row>
    <row r="64" spans="1:17">
      <c r="A64" s="599"/>
      <c r="B64" s="599"/>
      <c r="C64" s="599"/>
      <c r="D64" s="859"/>
      <c r="E64" s="859"/>
      <c r="F64" s="859"/>
      <c r="G64" s="859"/>
    </row>
    <row r="65" spans="1:7">
      <c r="A65" s="1308" t="s">
        <v>511</v>
      </c>
      <c r="B65" s="1308"/>
      <c r="C65" s="1308"/>
      <c r="D65" s="1308" t="s">
        <v>786</v>
      </c>
      <c r="E65" s="1308">
        <v>0</v>
      </c>
      <c r="F65" s="1308">
        <v>0</v>
      </c>
      <c r="G65" s="1308">
        <v>0</v>
      </c>
    </row>
    <row r="66" spans="1:7">
      <c r="A66" s="726"/>
      <c r="B66" s="909"/>
      <c r="C66" s="909"/>
      <c r="D66" s="388"/>
      <c r="E66" s="388"/>
      <c r="F66" s="388"/>
      <c r="G66" s="388"/>
    </row>
    <row r="67" spans="1:7" ht="67.5" customHeight="1">
      <c r="A67" s="987" t="s">
        <v>700</v>
      </c>
      <c r="B67" s="987"/>
      <c r="C67" s="987"/>
      <c r="D67" s="988"/>
      <c r="E67" s="988"/>
      <c r="F67" s="1137" t="s">
        <v>1621</v>
      </c>
      <c r="G67" s="1137" t="s">
        <v>1622</v>
      </c>
    </row>
    <row r="68" spans="1:7">
      <c r="A68" s="950" t="s">
        <v>511</v>
      </c>
      <c r="B68" s="950"/>
      <c r="C68" s="950"/>
      <c r="D68" s="989"/>
      <c r="E68" s="989"/>
      <c r="F68" s="727"/>
      <c r="G68" s="727"/>
    </row>
    <row r="69" spans="1:7">
      <c r="A69" s="950" t="s">
        <v>822</v>
      </c>
      <c r="B69" s="950"/>
      <c r="C69" s="950"/>
      <c r="D69" s="989"/>
      <c r="E69" s="989"/>
      <c r="F69" s="540">
        <v>614</v>
      </c>
      <c r="G69" s="540">
        <v>356</v>
      </c>
    </row>
    <row r="70" spans="1:7">
      <c r="A70" s="950" t="s">
        <v>823</v>
      </c>
      <c r="B70" s="950"/>
      <c r="C70" s="950"/>
      <c r="D70" s="989"/>
      <c r="E70" s="989"/>
      <c r="F70" s="540">
        <v>451</v>
      </c>
      <c r="G70" s="540">
        <v>41</v>
      </c>
    </row>
    <row r="71" spans="1:7">
      <c r="A71" s="950" t="s">
        <v>824</v>
      </c>
      <c r="B71" s="950"/>
      <c r="C71" s="950"/>
      <c r="D71" s="989"/>
      <c r="E71" s="989"/>
      <c r="F71" s="540">
        <v>31</v>
      </c>
      <c r="G71" s="540">
        <v>103</v>
      </c>
    </row>
    <row r="72" spans="1:7">
      <c r="A72" s="950" t="s">
        <v>648</v>
      </c>
      <c r="B72" s="950"/>
      <c r="C72" s="950"/>
      <c r="D72" s="989"/>
      <c r="E72" s="989"/>
      <c r="F72" s="540">
        <v>107</v>
      </c>
      <c r="G72" s="540">
        <v>13</v>
      </c>
    </row>
    <row r="73" spans="1:7">
      <c r="A73" s="950" t="s">
        <v>1541</v>
      </c>
      <c r="B73" s="950"/>
      <c r="C73" s="950"/>
      <c r="D73" s="989"/>
      <c r="E73" s="989"/>
      <c r="F73" s="540">
        <v>1</v>
      </c>
      <c r="G73" s="540">
        <v>52</v>
      </c>
    </row>
    <row r="74" spans="1:7">
      <c r="A74" s="950" t="s">
        <v>1543</v>
      </c>
      <c r="B74" s="950"/>
      <c r="C74" s="950"/>
      <c r="D74" s="989"/>
      <c r="E74" s="989"/>
      <c r="F74" s="540">
        <v>47</v>
      </c>
      <c r="G74" s="540">
        <v>2</v>
      </c>
    </row>
    <row r="75" spans="1:7">
      <c r="A75" s="950" t="s">
        <v>825</v>
      </c>
      <c r="B75" s="950"/>
      <c r="C75" s="950"/>
      <c r="D75" s="989"/>
      <c r="E75" s="989"/>
      <c r="F75" s="540">
        <v>8</v>
      </c>
      <c r="G75" s="540">
        <v>31</v>
      </c>
    </row>
    <row r="76" spans="1:7">
      <c r="A76" s="950" t="s">
        <v>871</v>
      </c>
      <c r="B76" s="950"/>
      <c r="C76" s="950"/>
      <c r="D76" s="989"/>
      <c r="E76" s="989"/>
      <c r="F76" s="540">
        <v>26</v>
      </c>
      <c r="G76" s="540"/>
    </row>
    <row r="77" spans="1:7">
      <c r="A77" s="950" t="s">
        <v>1542</v>
      </c>
      <c r="B77" s="950"/>
      <c r="C77" s="950"/>
      <c r="D77" s="989"/>
      <c r="E77" s="989"/>
      <c r="F77" s="540">
        <v>13</v>
      </c>
      <c r="G77" s="540">
        <v>11</v>
      </c>
    </row>
    <row r="78" spans="1:7">
      <c r="A78" s="808" t="s">
        <v>1719</v>
      </c>
      <c r="B78" s="808"/>
      <c r="C78" s="808"/>
      <c r="D78" s="990"/>
      <c r="E78" s="990"/>
      <c r="F78" s="536">
        <v>67</v>
      </c>
      <c r="G78" s="536">
        <v>7</v>
      </c>
    </row>
    <row r="79" spans="1:7">
      <c r="A79" s="1430" t="s">
        <v>1454</v>
      </c>
      <c r="B79" s="1430"/>
      <c r="C79" s="1430"/>
      <c r="D79" s="1430"/>
      <c r="E79" s="1430"/>
      <c r="F79" s="1183">
        <v>1364</v>
      </c>
      <c r="G79" s="1183">
        <v>616</v>
      </c>
    </row>
    <row r="80" spans="1:7">
      <c r="A80" s="726"/>
      <c r="B80" s="909"/>
      <c r="C80" s="909"/>
      <c r="D80" s="388"/>
      <c r="E80" s="388"/>
      <c r="F80" s="388"/>
      <c r="G80" s="388"/>
    </row>
    <row r="81" spans="1:17">
      <c r="A81" s="1435" t="s">
        <v>1720</v>
      </c>
      <c r="B81" s="1435"/>
      <c r="C81" s="1435"/>
      <c r="D81" s="1435" t="s">
        <v>1028</v>
      </c>
      <c r="E81" s="1435">
        <v>0</v>
      </c>
      <c r="F81" s="1435">
        <v>0</v>
      </c>
      <c r="G81" s="1435">
        <v>0</v>
      </c>
    </row>
    <row r="82" spans="1:17">
      <c r="A82" s="991"/>
      <c r="B82" s="991"/>
      <c r="C82" s="991"/>
      <c r="D82" s="991"/>
      <c r="E82" s="991"/>
      <c r="F82" s="991"/>
      <c r="G82" s="991"/>
    </row>
    <row r="83" spans="1:17" ht="11.25" customHeight="1">
      <c r="A83" s="1318" t="s">
        <v>1297</v>
      </c>
      <c r="B83" s="1318"/>
      <c r="C83" s="1318"/>
      <c r="D83" s="1318" t="s">
        <v>1389</v>
      </c>
      <c r="E83" s="1318">
        <v>0</v>
      </c>
      <c r="F83" s="1318">
        <v>0</v>
      </c>
      <c r="G83" s="1318">
        <v>0</v>
      </c>
    </row>
    <row r="84" spans="1:17">
      <c r="A84" s="857"/>
      <c r="B84" s="857"/>
      <c r="C84" s="857"/>
      <c r="D84" s="992"/>
      <c r="E84" s="992"/>
      <c r="F84" s="992"/>
      <c r="G84" s="992"/>
    </row>
    <row r="85" spans="1:17" ht="34.5" customHeight="1">
      <c r="A85" s="1302" t="s">
        <v>1690</v>
      </c>
      <c r="B85" s="1302"/>
      <c r="C85" s="1302"/>
      <c r="D85" s="1302"/>
      <c r="E85" s="1302"/>
      <c r="F85" s="1302"/>
      <c r="G85" s="1302"/>
    </row>
    <row r="86" spans="1:17" ht="11.25" customHeight="1">
      <c r="A86" s="721"/>
      <c r="B86" s="922"/>
      <c r="C86" s="922"/>
      <c r="D86" s="722"/>
      <c r="E86" s="722"/>
      <c r="F86" s="722"/>
      <c r="G86" s="722"/>
    </row>
    <row r="87" spans="1:17" ht="33.75" customHeight="1">
      <c r="A87" s="920" t="s">
        <v>700</v>
      </c>
      <c r="B87" s="920"/>
      <c r="C87" s="920"/>
      <c r="D87" s="932"/>
      <c r="E87" s="1137" t="s">
        <v>1237</v>
      </c>
      <c r="F87" s="934" t="s">
        <v>1236</v>
      </c>
      <c r="G87" s="934" t="s">
        <v>1235</v>
      </c>
    </row>
    <row r="88" spans="1:17">
      <c r="A88" s="1424" t="s">
        <v>1565</v>
      </c>
      <c r="B88" s="1424"/>
      <c r="C88" s="1424"/>
      <c r="D88" s="1424"/>
      <c r="E88" s="559"/>
      <c r="F88" s="559"/>
      <c r="G88" s="559"/>
    </row>
    <row r="89" spans="1:17" ht="11.25" customHeight="1">
      <c r="A89" s="1051" t="s">
        <v>538</v>
      </c>
      <c r="B89" s="951"/>
      <c r="C89" s="951"/>
      <c r="D89" s="910"/>
      <c r="E89" s="559">
        <v>1772</v>
      </c>
      <c r="F89" s="559">
        <v>83</v>
      </c>
      <c r="G89" s="559"/>
    </row>
    <row r="90" spans="1:17" ht="11.25" customHeight="1">
      <c r="A90" s="1051" t="s">
        <v>822</v>
      </c>
      <c r="B90" s="951"/>
      <c r="C90" s="951"/>
      <c r="D90" s="910"/>
      <c r="E90" s="559">
        <v>1332</v>
      </c>
      <c r="F90" s="559">
        <v>640</v>
      </c>
      <c r="G90" s="559">
        <v>32</v>
      </c>
    </row>
    <row r="91" spans="1:17" ht="11.25" customHeight="1">
      <c r="A91" s="1051" t="s">
        <v>823</v>
      </c>
      <c r="B91" s="951"/>
      <c r="C91" s="951"/>
      <c r="D91" s="910"/>
      <c r="E91" s="559">
        <v>1202</v>
      </c>
      <c r="F91" s="559">
        <v>509</v>
      </c>
      <c r="G91" s="559">
        <v>25</v>
      </c>
    </row>
    <row r="92" spans="1:17" ht="11.25" customHeight="1">
      <c r="A92" s="1051" t="s">
        <v>4</v>
      </c>
      <c r="B92" s="951"/>
      <c r="C92" s="951"/>
      <c r="D92" s="910"/>
      <c r="E92" s="559">
        <v>128</v>
      </c>
      <c r="F92" s="559">
        <v>34</v>
      </c>
      <c r="G92" s="559">
        <v>2</v>
      </c>
    </row>
    <row r="93" spans="1:17" ht="11.25" customHeight="1">
      <c r="A93" s="1051" t="s">
        <v>1543</v>
      </c>
      <c r="B93" s="951"/>
      <c r="C93" s="951"/>
      <c r="D93" s="910"/>
      <c r="E93" s="559">
        <v>132</v>
      </c>
      <c r="F93" s="559">
        <v>47</v>
      </c>
      <c r="G93" s="559">
        <v>2</v>
      </c>
    </row>
    <row r="94" spans="1:17" ht="11.25" customHeight="1">
      <c r="A94" s="1067" t="s">
        <v>648</v>
      </c>
      <c r="B94" s="951"/>
      <c r="C94" s="951"/>
      <c r="D94" s="1065"/>
      <c r="E94" s="559">
        <v>110</v>
      </c>
      <c r="F94" s="559">
        <v>104</v>
      </c>
      <c r="G94" s="559">
        <v>5</v>
      </c>
      <c r="H94" s="1068"/>
      <c r="I94" s="1068"/>
      <c r="J94" s="1068"/>
      <c r="K94" s="1068"/>
      <c r="L94" s="1068"/>
      <c r="M94" s="1068"/>
      <c r="N94" s="1068"/>
      <c r="O94" s="1068"/>
      <c r="P94" s="1068"/>
      <c r="Q94" s="1068"/>
    </row>
    <row r="95" spans="1:17" ht="11.25" customHeight="1">
      <c r="A95" s="1051" t="s">
        <v>5</v>
      </c>
      <c r="B95" s="951"/>
      <c r="C95" s="951"/>
      <c r="D95" s="910"/>
      <c r="E95" s="559">
        <v>50</v>
      </c>
      <c r="F95" s="559">
        <v>31</v>
      </c>
      <c r="G95" s="559">
        <v>2</v>
      </c>
    </row>
    <row r="96" spans="1:17" ht="11.25" customHeight="1">
      <c r="A96" s="1085" t="s">
        <v>824</v>
      </c>
      <c r="B96" s="951"/>
      <c r="C96" s="951"/>
      <c r="D96" s="1084"/>
      <c r="E96" s="559">
        <v>38</v>
      </c>
      <c r="F96" s="559">
        <v>28</v>
      </c>
      <c r="G96" s="559">
        <v>1</v>
      </c>
      <c r="H96" s="1086"/>
      <c r="I96" s="1086"/>
      <c r="J96" s="1086"/>
      <c r="K96" s="1086"/>
      <c r="L96" s="1086"/>
      <c r="M96" s="1086"/>
      <c r="N96" s="1086"/>
      <c r="O96" s="1086"/>
      <c r="P96" s="1086"/>
      <c r="Q96" s="1086"/>
    </row>
    <row r="97" spans="1:7" ht="11.25" customHeight="1">
      <c r="A97" s="1052" t="s">
        <v>1718</v>
      </c>
      <c r="B97" s="955"/>
      <c r="C97" s="955"/>
      <c r="D97" s="912"/>
      <c r="E97" s="560">
        <v>108</v>
      </c>
      <c r="F97" s="560">
        <v>74</v>
      </c>
      <c r="G97" s="560">
        <v>4</v>
      </c>
    </row>
    <row r="98" spans="1:7" ht="11.25" customHeight="1">
      <c r="A98" s="1423" t="s">
        <v>1566</v>
      </c>
      <c r="B98" s="1423"/>
      <c r="C98" s="1423"/>
      <c r="D98" s="1423"/>
      <c r="E98" s="1106">
        <v>2435</v>
      </c>
      <c r="F98" s="537">
        <v>776</v>
      </c>
      <c r="G98" s="537">
        <v>73</v>
      </c>
    </row>
    <row r="99" spans="1:7" ht="11.25" customHeight="1">
      <c r="A99" s="721"/>
      <c r="B99" s="922"/>
      <c r="C99" s="922"/>
      <c r="D99" s="722"/>
      <c r="E99" s="722"/>
      <c r="F99" s="722"/>
      <c r="G99" s="722"/>
    </row>
    <row r="100" spans="1:7" ht="11.25" customHeight="1">
      <c r="A100" s="1299" t="s">
        <v>1248</v>
      </c>
      <c r="B100" s="1299"/>
      <c r="C100" s="1299"/>
      <c r="D100" s="1299" t="s">
        <v>1241</v>
      </c>
      <c r="E100" s="1299">
        <v>0</v>
      </c>
      <c r="F100" s="1299">
        <v>0</v>
      </c>
      <c r="G100" s="1299">
        <v>0</v>
      </c>
    </row>
    <row r="101" spans="1:7" ht="11.25" customHeight="1">
      <c r="A101" s="721"/>
      <c r="B101" s="922"/>
      <c r="C101" s="922"/>
      <c r="D101" s="722"/>
      <c r="E101" s="722"/>
      <c r="F101" s="722"/>
      <c r="G101" s="722"/>
    </row>
    <row r="102" spans="1:7" ht="11.25" customHeight="1">
      <c r="A102" s="920" t="s">
        <v>700</v>
      </c>
      <c r="B102" s="920"/>
      <c r="C102" s="920"/>
      <c r="D102" s="932"/>
      <c r="E102" s="932"/>
      <c r="F102" s="516"/>
      <c r="G102" s="516"/>
    </row>
    <row r="103" spans="1:7" ht="11.25" customHeight="1">
      <c r="A103" s="1424" t="s">
        <v>1455</v>
      </c>
      <c r="B103" s="1424"/>
      <c r="C103" s="1424"/>
      <c r="D103" s="1424"/>
      <c r="E103" s="1424"/>
      <c r="F103" s="1424"/>
      <c r="G103" s="993"/>
    </row>
    <row r="104" spans="1:7" ht="11.25" customHeight="1">
      <c r="A104" s="1051">
        <v>2020</v>
      </c>
      <c r="B104" s="951"/>
      <c r="C104" s="951"/>
      <c r="D104" s="910"/>
      <c r="E104" s="910"/>
      <c r="F104" s="864"/>
      <c r="G104" s="559">
        <v>1769</v>
      </c>
    </row>
    <row r="105" spans="1:7" ht="11.25" customHeight="1">
      <c r="A105" s="1292" t="s">
        <v>1231</v>
      </c>
      <c r="B105" s="1292"/>
      <c r="C105" s="1292"/>
      <c r="D105" s="1292"/>
      <c r="E105" s="1292"/>
      <c r="F105" s="1292"/>
      <c r="G105" s="559"/>
    </row>
    <row r="106" spans="1:7" ht="11.25" customHeight="1">
      <c r="A106" s="1051">
        <v>2020</v>
      </c>
      <c r="B106" s="951"/>
      <c r="C106" s="951"/>
      <c r="D106" s="910"/>
      <c r="E106" s="910"/>
      <c r="F106" s="723"/>
      <c r="G106" s="559">
        <v>1977</v>
      </c>
    </row>
    <row r="107" spans="1:7" ht="11.25" customHeight="1">
      <c r="A107" s="1051">
        <v>2021</v>
      </c>
      <c r="B107" s="951"/>
      <c r="C107" s="951"/>
      <c r="D107" s="910"/>
      <c r="E107" s="910"/>
      <c r="F107" s="723"/>
      <c r="G107" s="559">
        <v>193</v>
      </c>
    </row>
    <row r="108" spans="1:7" ht="11.25" customHeight="1">
      <c r="A108" s="1051">
        <v>2022</v>
      </c>
      <c r="B108" s="951"/>
      <c r="C108" s="951"/>
      <c r="D108" s="910"/>
      <c r="E108" s="910"/>
      <c r="F108" s="723"/>
      <c r="G108" s="559">
        <v>71</v>
      </c>
    </row>
    <row r="109" spans="1:7" ht="11.25" customHeight="1">
      <c r="A109" s="1051">
        <v>2023</v>
      </c>
      <c r="B109" s="951"/>
      <c r="C109" s="951"/>
      <c r="D109" s="910"/>
      <c r="E109" s="910"/>
      <c r="F109" s="723"/>
      <c r="G109" s="559">
        <v>31</v>
      </c>
    </row>
    <row r="110" spans="1:7" ht="11.25" customHeight="1">
      <c r="A110" s="1051" t="s">
        <v>1431</v>
      </c>
      <c r="B110" s="951"/>
      <c r="C110" s="951"/>
      <c r="D110" s="910"/>
      <c r="E110" s="910"/>
      <c r="F110" s="723"/>
      <c r="G110" s="559">
        <v>176</v>
      </c>
    </row>
    <row r="111" spans="1:7" ht="11.25" customHeight="1">
      <c r="A111" s="207"/>
      <c r="B111" s="909"/>
      <c r="C111" s="909"/>
      <c r="D111" s="207"/>
      <c r="E111" s="207"/>
      <c r="F111" s="207"/>
      <c r="G111" s="207"/>
    </row>
    <row r="112" spans="1:7" s="1172" customFormat="1" ht="11.25" customHeight="1">
      <c r="A112" s="1058"/>
      <c r="B112" s="1058"/>
      <c r="C112" s="1058"/>
      <c r="D112" s="1058"/>
      <c r="E112" s="1058"/>
      <c r="F112" s="1058"/>
      <c r="G112" s="1058"/>
    </row>
    <row r="113" spans="1:7" ht="11.25" customHeight="1">
      <c r="A113" s="1420" t="s">
        <v>516</v>
      </c>
      <c r="B113" s="1420"/>
      <c r="C113" s="1420"/>
      <c r="D113" s="1420"/>
      <c r="E113" s="1420"/>
      <c r="F113" s="1420"/>
      <c r="G113" s="1420"/>
    </row>
    <row r="114" spans="1:7" ht="11.25" customHeight="1">
      <c r="A114" s="923"/>
      <c r="B114" s="923"/>
      <c r="C114" s="923"/>
      <c r="D114" s="923"/>
      <c r="E114" s="923"/>
      <c r="F114" s="923"/>
      <c r="G114" s="923"/>
    </row>
    <row r="115" spans="1:7" ht="23.25" customHeight="1">
      <c r="A115" s="1299" t="s">
        <v>1643</v>
      </c>
      <c r="B115" s="1299"/>
      <c r="C115" s="1299"/>
      <c r="D115" s="1246"/>
      <c r="E115" s="1246"/>
      <c r="F115" s="1246"/>
      <c r="G115" s="1246"/>
    </row>
    <row r="116" spans="1:7">
      <c r="A116" s="857"/>
      <c r="B116" s="857"/>
      <c r="C116" s="857"/>
      <c r="D116" s="857"/>
      <c r="E116" s="857"/>
      <c r="F116" s="857"/>
      <c r="G116" s="857"/>
    </row>
    <row r="117" spans="1:7" ht="22.5" customHeight="1">
      <c r="A117" s="1299" t="s">
        <v>1567</v>
      </c>
      <c r="B117" s="1299"/>
      <c r="C117" s="1299"/>
      <c r="D117" s="1246"/>
      <c r="E117" s="1246"/>
      <c r="F117" s="1246"/>
      <c r="G117" s="1246"/>
    </row>
    <row r="118" spans="1:7" ht="11.25" customHeight="1">
      <c r="A118" s="926"/>
      <c r="B118" s="926"/>
      <c r="C118" s="926"/>
      <c r="D118" s="914"/>
      <c r="E118" s="914"/>
      <c r="F118" s="914"/>
      <c r="G118" s="914"/>
    </row>
    <row r="119" spans="1:7" ht="33.75" customHeight="1">
      <c r="A119" s="1299" t="s">
        <v>1568</v>
      </c>
      <c r="B119" s="1299"/>
      <c r="C119" s="1299"/>
      <c r="D119" s="1246"/>
      <c r="E119" s="1246"/>
      <c r="F119" s="1246"/>
      <c r="G119" s="1246"/>
    </row>
    <row r="120" spans="1:7" ht="11.25" customHeight="1">
      <c r="A120" s="702"/>
      <c r="B120" s="922"/>
      <c r="C120" s="922"/>
      <c r="D120" s="703"/>
      <c r="E120" s="703"/>
      <c r="F120" s="703"/>
      <c r="G120" s="703"/>
    </row>
    <row r="121" spans="1:7" ht="12" customHeight="1">
      <c r="A121" s="920" t="s">
        <v>700</v>
      </c>
      <c r="B121" s="920"/>
      <c r="C121" s="920"/>
      <c r="D121" s="932"/>
      <c r="E121" s="487"/>
      <c r="F121" s="581">
        <v>2019</v>
      </c>
      <c r="G121" s="503">
        <v>2018</v>
      </c>
    </row>
    <row r="122" spans="1:7" ht="11.25" customHeight="1">
      <c r="A122" s="1424" t="s">
        <v>1201</v>
      </c>
      <c r="B122" s="1424"/>
      <c r="C122" s="1424"/>
      <c r="D122" s="1424"/>
      <c r="E122" s="1424"/>
      <c r="F122" s="994">
        <v>406</v>
      </c>
      <c r="G122" s="995">
        <v>292</v>
      </c>
    </row>
    <row r="123" spans="1:7" ht="11.25" customHeight="1">
      <c r="A123" s="1292" t="s">
        <v>1202</v>
      </c>
      <c r="B123" s="1292"/>
      <c r="C123" s="1292"/>
      <c r="D123" s="1292"/>
      <c r="E123" s="1292"/>
      <c r="F123" s="994">
        <v>503</v>
      </c>
      <c r="G123" s="995">
        <v>531</v>
      </c>
    </row>
    <row r="124" spans="1:7" ht="11.25" customHeight="1">
      <c r="A124" s="1292" t="s">
        <v>51</v>
      </c>
      <c r="B124" s="1292"/>
      <c r="C124" s="1292"/>
      <c r="D124" s="1292"/>
      <c r="E124" s="1292"/>
      <c r="F124" s="994">
        <v>424</v>
      </c>
      <c r="G124" s="995">
        <v>426</v>
      </c>
    </row>
    <row r="125" spans="1:7" ht="11.25" customHeight="1">
      <c r="A125" s="910"/>
      <c r="B125" s="910"/>
      <c r="C125" s="910"/>
      <c r="D125" s="910"/>
      <c r="E125" s="910"/>
      <c r="F125" s="996"/>
      <c r="G125" s="997"/>
    </row>
    <row r="126" spans="1:7" ht="11.25" customHeight="1">
      <c r="A126" s="1292" t="s">
        <v>1203</v>
      </c>
      <c r="B126" s="1292"/>
      <c r="C126" s="1292"/>
      <c r="D126" s="1292"/>
      <c r="E126" s="1292"/>
      <c r="F126" s="994">
        <v>91</v>
      </c>
      <c r="G126" s="995">
        <v>87</v>
      </c>
    </row>
    <row r="127" spans="1:7" ht="11.25" customHeight="1">
      <c r="A127" s="239"/>
      <c r="B127" s="239"/>
      <c r="C127" s="239"/>
      <c r="D127" s="239"/>
      <c r="E127" s="239"/>
      <c r="F127" s="239"/>
      <c r="G127" s="239"/>
    </row>
    <row r="128" spans="1:7" ht="33.75" customHeight="1">
      <c r="A128" s="1299" t="s">
        <v>1544</v>
      </c>
      <c r="B128" s="1299"/>
      <c r="C128" s="1299"/>
      <c r="D128" s="1246"/>
      <c r="E128" s="1246"/>
      <c r="F128" s="1246"/>
      <c r="G128" s="1246"/>
    </row>
    <row r="129" spans="1:7">
      <c r="A129" s="207"/>
      <c r="B129" s="909"/>
      <c r="C129" s="909"/>
      <c r="D129" s="207"/>
      <c r="E129" s="207"/>
      <c r="F129" s="207"/>
      <c r="G129" s="207"/>
    </row>
    <row r="130" spans="1:7" ht="56.25" customHeight="1">
      <c r="A130" s="1299" t="s">
        <v>1691</v>
      </c>
      <c r="B130" s="1299"/>
      <c r="C130" s="1299"/>
      <c r="D130" s="1246"/>
      <c r="E130" s="1246"/>
      <c r="F130" s="1246"/>
      <c r="G130" s="1246"/>
    </row>
    <row r="131" spans="1:7">
      <c r="A131" s="863"/>
      <c r="B131" s="909"/>
      <c r="C131" s="909"/>
      <c r="D131" s="863"/>
      <c r="E131" s="863"/>
      <c r="F131" s="863"/>
      <c r="G131" s="863"/>
    </row>
    <row r="132" spans="1:7" ht="11.25" customHeight="1">
      <c r="A132" s="1299" t="s">
        <v>1607</v>
      </c>
      <c r="B132" s="1299"/>
      <c r="C132" s="1299"/>
      <c r="D132" s="1246"/>
      <c r="E132" s="1246"/>
      <c r="F132" s="1246"/>
      <c r="G132" s="1246"/>
    </row>
    <row r="133" spans="1:7">
      <c r="A133" s="207"/>
      <c r="B133" s="909"/>
      <c r="C133" s="909"/>
      <c r="D133" s="207"/>
      <c r="E133" s="207"/>
      <c r="F133" s="207"/>
      <c r="G133" s="207"/>
    </row>
    <row r="134" spans="1:7">
      <c r="A134" s="1420" t="s">
        <v>107</v>
      </c>
      <c r="B134" s="1420"/>
      <c r="C134" s="1420"/>
      <c r="D134" s="1420"/>
      <c r="E134" s="1420"/>
      <c r="F134" s="1420"/>
      <c r="G134" s="1420"/>
    </row>
    <row r="135" spans="1:7">
      <c r="A135" s="731"/>
      <c r="B135" s="923"/>
      <c r="C135" s="923"/>
      <c r="D135" s="731"/>
      <c r="E135" s="731"/>
      <c r="F135" s="731"/>
      <c r="G135" s="731"/>
    </row>
    <row r="136" spans="1:7" ht="23.25" customHeight="1">
      <c r="A136" s="1299" t="s">
        <v>1232</v>
      </c>
      <c r="B136" s="1299"/>
      <c r="C136" s="1299"/>
      <c r="D136" s="1246"/>
      <c r="E136" s="1246"/>
      <c r="F136" s="1246"/>
      <c r="G136" s="1246"/>
    </row>
    <row r="137" spans="1:7">
      <c r="A137" s="207"/>
      <c r="B137" s="909"/>
      <c r="C137" s="909"/>
      <c r="D137" s="207"/>
      <c r="E137" s="207"/>
      <c r="F137" s="207"/>
      <c r="G137" s="207"/>
    </row>
    <row r="138" spans="1:7">
      <c r="A138" s="1299" t="s">
        <v>108</v>
      </c>
      <c r="B138" s="1299"/>
      <c r="C138" s="1299"/>
      <c r="D138" s="1246"/>
      <c r="E138" s="1246"/>
      <c r="F138" s="1246"/>
      <c r="G138" s="1246"/>
    </row>
    <row r="139" spans="1:7">
      <c r="A139" s="1299" t="s">
        <v>1545</v>
      </c>
      <c r="B139" s="1299"/>
      <c r="C139" s="1299"/>
      <c r="D139" s="1246"/>
      <c r="E139" s="1246"/>
      <c r="F139" s="1246"/>
      <c r="G139" s="1246"/>
    </row>
    <row r="140" spans="1:7">
      <c r="A140" s="1299" t="s">
        <v>1546</v>
      </c>
      <c r="B140" s="1299"/>
      <c r="C140" s="1299"/>
      <c r="D140" s="1246"/>
      <c r="E140" s="1246"/>
      <c r="F140" s="1246"/>
      <c r="G140" s="1246"/>
    </row>
    <row r="141" spans="1:7">
      <c r="A141" s="857"/>
      <c r="B141" s="857"/>
      <c r="C141" s="857"/>
      <c r="D141" s="857"/>
      <c r="E141" s="857"/>
      <c r="F141" s="857"/>
      <c r="G141" s="857"/>
    </row>
    <row r="142" spans="1:7" ht="23.25" customHeight="1">
      <c r="A142" s="1426" t="s">
        <v>1678</v>
      </c>
      <c r="B142" s="1426"/>
      <c r="C142" s="1426"/>
      <c r="D142" s="1426"/>
      <c r="E142" s="1426"/>
      <c r="F142" s="1426"/>
      <c r="G142" s="1426"/>
    </row>
    <row r="143" spans="1:7">
      <c r="A143" s="857"/>
      <c r="B143" s="857"/>
      <c r="C143" s="857"/>
      <c r="D143" s="857"/>
      <c r="E143" s="857"/>
      <c r="F143" s="857"/>
      <c r="G143" s="857"/>
    </row>
    <row r="144" spans="1:7" ht="22.5" customHeight="1">
      <c r="A144" s="1299" t="s">
        <v>1729</v>
      </c>
      <c r="B144" s="1299"/>
      <c r="C144" s="1299"/>
      <c r="D144" s="1246"/>
      <c r="E144" s="1246"/>
      <c r="F144" s="1246"/>
      <c r="G144" s="1246"/>
    </row>
    <row r="145" spans="1:7" ht="11.25" customHeight="1">
      <c r="A145" s="926"/>
      <c r="B145" s="926"/>
      <c r="C145" s="926"/>
      <c r="D145" s="914"/>
      <c r="E145" s="914"/>
      <c r="F145" s="914"/>
      <c r="G145" s="914"/>
    </row>
    <row r="146" spans="1:7" ht="22.5" customHeight="1">
      <c r="A146" s="1299" t="s">
        <v>1735</v>
      </c>
      <c r="B146" s="1299"/>
      <c r="C146" s="1299"/>
      <c r="D146" s="1299"/>
      <c r="E146" s="1299"/>
      <c r="F146" s="1299"/>
      <c r="G146" s="1299"/>
    </row>
    <row r="147" spans="1:7">
      <c r="A147" s="207"/>
      <c r="B147" s="909"/>
      <c r="C147" s="909"/>
      <c r="D147" s="207"/>
      <c r="E147" s="207"/>
      <c r="F147" s="207"/>
      <c r="G147" s="207"/>
    </row>
    <row r="148" spans="1:7" s="1206" customFormat="1">
      <c r="A148" s="1418" t="s">
        <v>109</v>
      </c>
      <c r="B148" s="1418"/>
      <c r="C148" s="1418"/>
      <c r="D148" s="1418"/>
      <c r="E148" s="1418"/>
      <c r="F148" s="1418"/>
      <c r="G148" s="1418"/>
    </row>
    <row r="149" spans="1:7">
      <c r="A149" s="774"/>
      <c r="D149" s="774"/>
      <c r="E149" s="774"/>
      <c r="F149" s="774"/>
      <c r="G149" s="774"/>
    </row>
    <row r="150" spans="1:7">
      <c r="A150" s="939" t="s">
        <v>700</v>
      </c>
      <c r="B150" s="939"/>
      <c r="C150" s="939"/>
      <c r="D150" s="774"/>
      <c r="E150" s="774"/>
      <c r="F150" s="774"/>
      <c r="G150" s="774"/>
    </row>
    <row r="151" spans="1:7" ht="34.5" customHeight="1">
      <c r="A151" s="773" t="s">
        <v>110</v>
      </c>
      <c r="B151" s="913"/>
      <c r="C151" s="913"/>
      <c r="D151" s="492"/>
      <c r="E151" s="492"/>
      <c r="F151" s="934" t="s">
        <v>111</v>
      </c>
      <c r="G151" s="934" t="s">
        <v>943</v>
      </c>
    </row>
    <row r="152" spans="1:7" ht="11.25" customHeight="1">
      <c r="A152" s="915">
        <v>2019</v>
      </c>
      <c r="B152" s="915"/>
      <c r="C152" s="915"/>
      <c r="D152" s="447"/>
      <c r="E152" s="439"/>
      <c r="F152" s="996"/>
      <c r="G152" s="994">
        <v>640</v>
      </c>
    </row>
    <row r="153" spans="1:7">
      <c r="A153" s="915">
        <v>2020</v>
      </c>
      <c r="B153" s="915"/>
      <c r="C153" s="915"/>
      <c r="D153" s="940"/>
      <c r="E153" s="440"/>
      <c r="F153" s="1071">
        <v>130</v>
      </c>
      <c r="G153" s="1071">
        <v>510</v>
      </c>
    </row>
    <row r="154" spans="1:7">
      <c r="A154" s="915">
        <v>2021</v>
      </c>
      <c r="B154" s="915"/>
      <c r="C154" s="915"/>
      <c r="D154" s="940"/>
      <c r="E154" s="440"/>
      <c r="F154" s="1071">
        <v>130</v>
      </c>
      <c r="G154" s="1071">
        <v>380</v>
      </c>
    </row>
    <row r="155" spans="1:7">
      <c r="A155" s="915">
        <v>2022</v>
      </c>
      <c r="B155" s="915"/>
      <c r="C155" s="915"/>
      <c r="D155" s="940"/>
      <c r="E155" s="440"/>
      <c r="F155" s="1071">
        <v>90</v>
      </c>
      <c r="G155" s="1071">
        <v>290</v>
      </c>
    </row>
    <row r="156" spans="1:7">
      <c r="A156" s="915">
        <v>2023</v>
      </c>
      <c r="B156" s="915"/>
      <c r="C156" s="915"/>
      <c r="D156" s="940"/>
      <c r="E156" s="440"/>
      <c r="F156" s="1071">
        <v>160</v>
      </c>
      <c r="G156" s="1071">
        <v>130</v>
      </c>
    </row>
    <row r="157" spans="1:7">
      <c r="A157" s="915">
        <v>2024</v>
      </c>
      <c r="B157" s="915"/>
      <c r="C157" s="915"/>
      <c r="D157" s="940"/>
      <c r="E157" s="440"/>
      <c r="F157" s="1071">
        <v>130</v>
      </c>
      <c r="G157" s="996"/>
    </row>
    <row r="158" spans="1:7">
      <c r="A158" s="207"/>
      <c r="B158" s="909"/>
      <c r="C158" s="909"/>
      <c r="D158" s="207"/>
      <c r="E158" s="207"/>
      <c r="F158" s="998"/>
      <c r="G158" s="998"/>
    </row>
    <row r="159" spans="1:7" s="1172" customFormat="1">
      <c r="A159" s="1058"/>
      <c r="B159" s="1058"/>
      <c r="C159" s="1058"/>
      <c r="D159" s="1058"/>
      <c r="E159" s="1058"/>
      <c r="F159" s="998"/>
      <c r="G159" s="998"/>
    </row>
    <row r="160" spans="1:7">
      <c r="A160" s="1420" t="s">
        <v>112</v>
      </c>
      <c r="B160" s="1420"/>
      <c r="C160" s="1420"/>
      <c r="D160" s="1420"/>
      <c r="E160" s="1420"/>
      <c r="F160" s="1420"/>
      <c r="G160" s="1420"/>
    </row>
    <row r="161" spans="1:7">
      <c r="A161" s="731"/>
      <c r="B161" s="923"/>
      <c r="C161" s="923"/>
      <c r="D161" s="732"/>
      <c r="E161" s="732"/>
      <c r="F161" s="732"/>
      <c r="G161" s="732"/>
    </row>
    <row r="162" spans="1:7" ht="22.5" customHeight="1">
      <c r="A162" s="1299" t="s">
        <v>1027</v>
      </c>
      <c r="B162" s="1299"/>
      <c r="C162" s="1299"/>
      <c r="D162" s="1246"/>
      <c r="E162" s="1246"/>
      <c r="F162" s="1246"/>
      <c r="G162" s="1246"/>
    </row>
    <row r="163" spans="1:7">
      <c r="A163" s="207"/>
      <c r="B163" s="909"/>
      <c r="C163" s="909"/>
      <c r="D163" s="207"/>
      <c r="E163" s="207"/>
      <c r="F163" s="207"/>
      <c r="G163" s="207"/>
    </row>
    <row r="164" spans="1:7" ht="45" customHeight="1">
      <c r="A164" s="1299" t="s">
        <v>1623</v>
      </c>
      <c r="B164" s="1299"/>
      <c r="C164" s="1299"/>
      <c r="D164" s="1246"/>
      <c r="E164" s="1246"/>
      <c r="F164" s="1246"/>
      <c r="G164" s="1246"/>
    </row>
    <row r="165" spans="1:7">
      <c r="A165" s="207"/>
      <c r="B165" s="909"/>
      <c r="C165" s="909"/>
      <c r="D165" s="207"/>
      <c r="E165" s="207"/>
      <c r="F165" s="207"/>
      <c r="G165" s="207"/>
    </row>
    <row r="166" spans="1:7" ht="45" customHeight="1">
      <c r="A166" s="1299" t="s">
        <v>1176</v>
      </c>
      <c r="B166" s="1299"/>
      <c r="C166" s="1299"/>
      <c r="D166" s="1246"/>
      <c r="E166" s="1246"/>
      <c r="F166" s="1246"/>
      <c r="G166" s="1246"/>
    </row>
    <row r="167" spans="1:7" ht="11.25" customHeight="1">
      <c r="A167" s="702"/>
      <c r="B167" s="922"/>
      <c r="C167" s="922"/>
      <c r="D167" s="703"/>
      <c r="E167" s="703"/>
      <c r="F167" s="703"/>
      <c r="G167" s="703"/>
    </row>
    <row r="168" spans="1:7" ht="22.5" customHeight="1">
      <c r="A168" s="1299" t="s">
        <v>1706</v>
      </c>
      <c r="B168" s="1299"/>
      <c r="C168" s="1299"/>
      <c r="D168" s="1246"/>
      <c r="E168" s="1246"/>
      <c r="F168" s="1246"/>
      <c r="G168" s="1246"/>
    </row>
    <row r="169" spans="1:7">
      <c r="A169" s="207"/>
      <c r="B169" s="909"/>
      <c r="C169" s="909"/>
      <c r="D169" s="686"/>
      <c r="E169" s="686"/>
      <c r="F169" s="686"/>
      <c r="G169" s="686"/>
    </row>
    <row r="170" spans="1:7">
      <c r="A170" s="1347" t="s">
        <v>789</v>
      </c>
      <c r="B170" s="1347"/>
      <c r="C170" s="1347"/>
      <c r="D170" s="1347"/>
      <c r="E170" s="1347"/>
      <c r="F170" s="1347"/>
      <c r="G170" s="1347"/>
    </row>
    <row r="171" spans="1:7">
      <c r="A171" s="753"/>
      <c r="B171" s="923"/>
      <c r="C171" s="923"/>
      <c r="D171" s="758"/>
      <c r="E171" s="758"/>
      <c r="F171" s="758"/>
      <c r="G171" s="758"/>
    </row>
    <row r="172" spans="1:7" ht="68.25" customHeight="1">
      <c r="A172" s="1299" t="s">
        <v>1708</v>
      </c>
      <c r="B172" s="1299"/>
      <c r="C172" s="1299"/>
      <c r="D172" s="1299"/>
      <c r="E172" s="1299"/>
      <c r="F172" s="1299"/>
      <c r="G172" s="1299"/>
    </row>
    <row r="173" spans="1:7">
      <c r="A173" s="731"/>
      <c r="B173" s="923"/>
      <c r="C173" s="923"/>
      <c r="D173" s="732"/>
      <c r="E173" s="732"/>
      <c r="F173" s="732"/>
      <c r="G173" s="732"/>
    </row>
    <row r="174" spans="1:7">
      <c r="A174" s="599"/>
      <c r="B174" s="599"/>
      <c r="C174" s="599"/>
      <c r="D174" s="589"/>
      <c r="E174" s="547">
        <v>2019</v>
      </c>
      <c r="F174" s="427"/>
      <c r="G174" s="397">
        <v>2018</v>
      </c>
    </row>
    <row r="175" spans="1:7" ht="21.75" customHeight="1">
      <c r="A175" s="913" t="s">
        <v>700</v>
      </c>
      <c r="B175" s="913"/>
      <c r="C175" s="913"/>
      <c r="D175" s="569" t="s">
        <v>931</v>
      </c>
      <c r="E175" s="569" t="s">
        <v>932</v>
      </c>
      <c r="F175" s="487" t="s">
        <v>931</v>
      </c>
      <c r="G175" s="487" t="s">
        <v>932</v>
      </c>
    </row>
    <row r="176" spans="1:7" ht="12" customHeight="1">
      <c r="A176" s="1293" t="s">
        <v>790</v>
      </c>
      <c r="B176" s="1293"/>
      <c r="C176" s="1293"/>
      <c r="D176" s="540">
        <v>788</v>
      </c>
      <c r="E176" s="540">
        <v>1</v>
      </c>
      <c r="F176" s="442">
        <v>862</v>
      </c>
      <c r="G176" s="442">
        <v>1</v>
      </c>
    </row>
    <row r="177" spans="1:7">
      <c r="A177" s="1281" t="s">
        <v>872</v>
      </c>
      <c r="B177" s="1281"/>
      <c r="C177" s="1281"/>
      <c r="D177" s="540">
        <v>149</v>
      </c>
      <c r="E177" s="540"/>
      <c r="F177" s="442">
        <v>129</v>
      </c>
      <c r="G177" s="442"/>
    </row>
    <row r="178" spans="1:7">
      <c r="A178" s="1281" t="s">
        <v>866</v>
      </c>
      <c r="B178" s="1281"/>
      <c r="C178" s="1281"/>
      <c r="D178" s="540">
        <v>227</v>
      </c>
      <c r="E178" s="540">
        <v>2</v>
      </c>
      <c r="F178" s="442">
        <v>163</v>
      </c>
      <c r="G178" s="442">
        <v>1</v>
      </c>
    </row>
    <row r="179" spans="1:7">
      <c r="A179" s="1281" t="s">
        <v>867</v>
      </c>
      <c r="B179" s="1281"/>
      <c r="C179" s="1281"/>
      <c r="D179" s="540">
        <v>73</v>
      </c>
      <c r="E179" s="540">
        <v>1</v>
      </c>
      <c r="F179" s="442">
        <v>79</v>
      </c>
      <c r="G179" s="442">
        <v>1</v>
      </c>
    </row>
    <row r="180" spans="1:7">
      <c r="A180" s="1294" t="s">
        <v>1707</v>
      </c>
      <c r="B180" s="1294"/>
      <c r="C180" s="1294"/>
      <c r="D180" s="536">
        <v>81</v>
      </c>
      <c r="E180" s="536">
        <v>57</v>
      </c>
      <c r="F180" s="433">
        <v>100</v>
      </c>
      <c r="G180" s="433">
        <v>59</v>
      </c>
    </row>
    <row r="181" spans="1:7">
      <c r="A181" s="1295" t="s">
        <v>641</v>
      </c>
      <c r="B181" s="1295"/>
      <c r="C181" s="1295"/>
      <c r="D181" s="537">
        <v>1317</v>
      </c>
      <c r="E181" s="537">
        <v>61</v>
      </c>
      <c r="F181" s="452">
        <v>1333</v>
      </c>
      <c r="G181" s="452">
        <v>62</v>
      </c>
    </row>
    <row r="182" spans="1:7">
      <c r="A182" s="337"/>
      <c r="B182" s="931"/>
      <c r="C182" s="931"/>
      <c r="D182" s="253"/>
      <c r="E182" s="253"/>
      <c r="F182" s="220"/>
      <c r="G182" s="220"/>
    </row>
    <row r="183" spans="1:7" ht="11.25" customHeight="1">
      <c r="A183" s="1263" t="s">
        <v>1610</v>
      </c>
      <c r="B183" s="1263"/>
      <c r="C183" s="1263"/>
      <c r="D183" s="1421"/>
      <c r="E183" s="1421"/>
      <c r="F183" s="1421"/>
      <c r="G183" s="1421"/>
    </row>
    <row r="184" spans="1:7">
      <c r="A184" s="207"/>
      <c r="B184" s="909"/>
      <c r="C184" s="909"/>
      <c r="D184" s="207"/>
      <c r="E184" s="207"/>
      <c r="F184" s="207"/>
      <c r="G184" s="207"/>
    </row>
    <row r="185" spans="1:7">
      <c r="A185" s="1419" t="s">
        <v>673</v>
      </c>
      <c r="B185" s="1419"/>
      <c r="C185" s="1419"/>
      <c r="D185" s="1419"/>
      <c r="E185" s="1419"/>
      <c r="F185" s="1419"/>
      <c r="G185" s="1419"/>
    </row>
    <row r="186" spans="1:7">
      <c r="A186" s="704"/>
      <c r="B186" s="927"/>
      <c r="C186" s="927"/>
      <c r="D186" s="706"/>
      <c r="E186" s="706"/>
      <c r="F186" s="706"/>
      <c r="G186" s="706"/>
    </row>
    <row r="187" spans="1:7">
      <c r="A187" s="913" t="s">
        <v>700</v>
      </c>
      <c r="B187" s="937"/>
      <c r="C187" s="937"/>
      <c r="D187" s="502"/>
      <c r="E187" s="502"/>
      <c r="F187" s="714">
        <v>2019</v>
      </c>
      <c r="G187" s="705">
        <v>2018</v>
      </c>
    </row>
    <row r="188" spans="1:7">
      <c r="A188" s="1428" t="s">
        <v>1214</v>
      </c>
      <c r="B188" s="1428"/>
      <c r="C188" s="1428"/>
      <c r="D188" s="1428"/>
      <c r="E188" s="1428"/>
      <c r="F188" s="540">
        <v>62</v>
      </c>
      <c r="G188" s="442">
        <v>62</v>
      </c>
    </row>
    <row r="189" spans="1:7">
      <c r="A189" s="1288" t="s">
        <v>1251</v>
      </c>
      <c r="B189" s="1288"/>
      <c r="C189" s="1288"/>
      <c r="D189" s="1288"/>
      <c r="E189" s="1288"/>
      <c r="F189" s="540">
        <v>-17</v>
      </c>
      <c r="G189" s="442">
        <v>-3</v>
      </c>
    </row>
    <row r="190" spans="1:7">
      <c r="A190" s="1429" t="s">
        <v>1215</v>
      </c>
      <c r="B190" s="1429"/>
      <c r="C190" s="1429"/>
      <c r="D190" s="1429"/>
      <c r="E190" s="1429"/>
      <c r="F190" s="536">
        <v>17</v>
      </c>
      <c r="G190" s="433">
        <v>3</v>
      </c>
    </row>
    <row r="191" spans="1:7">
      <c r="A191" s="1430" t="s">
        <v>1216</v>
      </c>
      <c r="B191" s="1430"/>
      <c r="C191" s="1430"/>
      <c r="D191" s="1430"/>
      <c r="E191" s="1430"/>
      <c r="F191" s="537">
        <v>61</v>
      </c>
      <c r="G191" s="452">
        <v>62</v>
      </c>
    </row>
    <row r="192" spans="1:7">
      <c r="A192" s="706"/>
      <c r="B192" s="909"/>
      <c r="C192" s="909"/>
      <c r="D192" s="706"/>
      <c r="E192" s="706"/>
      <c r="F192" s="706"/>
      <c r="G192" s="706"/>
    </row>
    <row r="193" spans="1:17" ht="22.5" customHeight="1">
      <c r="A193" s="1299" t="s">
        <v>933</v>
      </c>
      <c r="B193" s="1299"/>
      <c r="C193" s="1299"/>
      <c r="D193" s="1246"/>
      <c r="E193" s="1246"/>
      <c r="F193" s="1246"/>
      <c r="G193" s="1246"/>
    </row>
    <row r="194" spans="1:17" ht="11.25" customHeight="1">
      <c r="A194" s="272"/>
      <c r="B194" s="922"/>
      <c r="C194" s="922"/>
      <c r="D194" s="297"/>
      <c r="E194" s="297"/>
      <c r="F194" s="297"/>
      <c r="G194" s="297"/>
    </row>
    <row r="195" spans="1:17">
      <c r="A195" s="1420" t="s">
        <v>445</v>
      </c>
      <c r="B195" s="1420"/>
      <c r="C195" s="1420"/>
      <c r="D195" s="1420"/>
      <c r="E195" s="1420"/>
      <c r="F195" s="1420"/>
      <c r="G195" s="1420"/>
    </row>
    <row r="196" spans="1:17">
      <c r="A196" s="731"/>
      <c r="B196" s="923"/>
      <c r="C196" s="923"/>
      <c r="D196" s="732"/>
      <c r="E196" s="732"/>
      <c r="F196" s="732"/>
      <c r="G196" s="732"/>
    </row>
    <row r="197" spans="1:17" ht="22.5" customHeight="1">
      <c r="A197" s="1299" t="s">
        <v>1612</v>
      </c>
      <c r="B197" s="1299"/>
      <c r="C197" s="1299"/>
      <c r="D197" s="1246"/>
      <c r="E197" s="1246"/>
      <c r="F197" s="1246"/>
      <c r="G197" s="1246"/>
    </row>
    <row r="198" spans="1:17">
      <c r="A198" s="207"/>
      <c r="B198" s="909"/>
      <c r="C198" s="909"/>
      <c r="D198" s="207"/>
      <c r="E198" s="207"/>
      <c r="F198" s="207"/>
      <c r="G198" s="207"/>
    </row>
    <row r="199" spans="1:17">
      <c r="A199" s="1420" t="s">
        <v>620</v>
      </c>
      <c r="B199" s="1420"/>
      <c r="C199" s="1420"/>
      <c r="D199" s="1420"/>
      <c r="E199" s="1420"/>
      <c r="F199" s="1420"/>
      <c r="G199" s="1420"/>
    </row>
    <row r="200" spans="1:17">
      <c r="A200" s="731"/>
      <c r="B200" s="923"/>
      <c r="C200" s="923"/>
      <c r="D200" s="732"/>
      <c r="E200" s="732"/>
      <c r="F200" s="732"/>
      <c r="G200" s="732"/>
    </row>
    <row r="201" spans="1:17" ht="33.75" customHeight="1">
      <c r="A201" s="1299" t="s">
        <v>1192</v>
      </c>
      <c r="B201" s="1299"/>
      <c r="C201" s="1299"/>
      <c r="D201" s="1246"/>
      <c r="E201" s="1246"/>
      <c r="F201" s="1246"/>
      <c r="G201" s="1246"/>
    </row>
    <row r="202" spans="1:17">
      <c r="A202" s="599"/>
      <c r="B202" s="599"/>
      <c r="C202" s="599"/>
      <c r="D202" s="686"/>
      <c r="E202" s="686"/>
      <c r="F202" s="686"/>
      <c r="G202" s="686"/>
    </row>
    <row r="203" spans="1:17">
      <c r="A203" s="1269" t="s">
        <v>700</v>
      </c>
      <c r="B203" s="1269"/>
      <c r="C203" s="1269"/>
      <c r="D203" s="1427"/>
      <c r="E203" s="518"/>
      <c r="F203" s="569" t="s">
        <v>1421</v>
      </c>
      <c r="G203" s="487" t="s">
        <v>1253</v>
      </c>
    </row>
    <row r="204" spans="1:17" ht="11.25" customHeight="1">
      <c r="A204" s="1223" t="s">
        <v>1356</v>
      </c>
      <c r="B204" s="1223"/>
      <c r="C204" s="1223"/>
      <c r="D204" s="1223"/>
      <c r="E204" s="439"/>
      <c r="F204" s="540">
        <v>851</v>
      </c>
      <c r="G204" s="442">
        <v>748</v>
      </c>
    </row>
    <row r="205" spans="1:17" ht="11.25" customHeight="1">
      <c r="A205" s="1223" t="s">
        <v>1472</v>
      </c>
      <c r="B205" s="1223"/>
      <c r="C205" s="1223"/>
      <c r="D205" s="1223"/>
      <c r="E205" s="439"/>
      <c r="F205" s="540">
        <v>146</v>
      </c>
      <c r="G205" s="442"/>
      <c r="H205" s="1128"/>
      <c r="I205" s="1128"/>
      <c r="J205" s="1128"/>
      <c r="K205" s="1128"/>
      <c r="L205" s="1128"/>
      <c r="M205" s="1128"/>
      <c r="N205" s="1128"/>
      <c r="O205" s="1128"/>
      <c r="P205" s="1128"/>
      <c r="Q205" s="1128"/>
    </row>
    <row r="206" spans="1:17" ht="11.25" customHeight="1">
      <c r="A206" s="1223" t="s">
        <v>1357</v>
      </c>
      <c r="B206" s="1223"/>
      <c r="C206" s="1223"/>
      <c r="D206" s="1223"/>
      <c r="E206" s="439"/>
      <c r="F206" s="540">
        <v>58</v>
      </c>
      <c r="G206" s="442">
        <v>74</v>
      </c>
      <c r="H206" s="1128"/>
      <c r="I206" s="1128"/>
      <c r="J206" s="1128"/>
      <c r="K206" s="1128"/>
      <c r="L206" s="1128"/>
      <c r="M206" s="1128"/>
      <c r="N206" s="1128"/>
      <c r="O206" s="1128"/>
      <c r="P206" s="1128"/>
      <c r="Q206" s="1128"/>
    </row>
    <row r="207" spans="1:17" ht="11.25" customHeight="1">
      <c r="A207" s="1431" t="s">
        <v>1473</v>
      </c>
      <c r="B207" s="1431"/>
      <c r="C207" s="1431"/>
      <c r="D207" s="1431"/>
      <c r="E207" s="1131"/>
      <c r="F207" s="1130">
        <v>42</v>
      </c>
      <c r="G207" s="1132"/>
      <c r="H207" s="1128"/>
      <c r="I207" s="1128"/>
      <c r="J207" s="1128"/>
      <c r="K207" s="1128"/>
      <c r="L207" s="1128"/>
      <c r="M207" s="1128"/>
      <c r="N207" s="1128"/>
      <c r="O207" s="1128"/>
      <c r="P207" s="1128"/>
      <c r="Q207" s="1128"/>
    </row>
    <row r="208" spans="1:17" ht="11.25" customHeight="1">
      <c r="A208" s="1233" t="s">
        <v>1299</v>
      </c>
      <c r="B208" s="1233"/>
      <c r="C208" s="1233"/>
      <c r="D208" s="1233"/>
      <c r="E208" s="439"/>
      <c r="F208" s="540">
        <v>1096</v>
      </c>
      <c r="G208" s="442">
        <v>823</v>
      </c>
      <c r="H208" s="1128"/>
      <c r="I208" s="1128"/>
      <c r="J208" s="1128"/>
      <c r="K208" s="1128"/>
      <c r="L208" s="1128"/>
      <c r="M208" s="1128"/>
      <c r="N208" s="1128"/>
      <c r="O208" s="1128"/>
      <c r="P208" s="1128"/>
      <c r="Q208" s="1128"/>
    </row>
    <row r="209" spans="1:17" ht="11.25" customHeight="1">
      <c r="A209" s="1223"/>
      <c r="B209" s="1223"/>
      <c r="C209" s="1223"/>
      <c r="D209" s="1223"/>
      <c r="E209" s="439"/>
      <c r="F209" s="540"/>
      <c r="G209" s="442"/>
      <c r="H209" s="1128"/>
      <c r="I209" s="1128"/>
      <c r="J209" s="1128"/>
      <c r="K209" s="1128"/>
      <c r="L209" s="1128"/>
      <c r="M209" s="1128"/>
      <c r="N209" s="1128"/>
      <c r="O209" s="1128"/>
      <c r="P209" s="1128"/>
      <c r="Q209" s="1128"/>
    </row>
    <row r="210" spans="1:17" ht="11.25" customHeight="1">
      <c r="A210" s="1292" t="s">
        <v>337</v>
      </c>
      <c r="B210" s="1292"/>
      <c r="C210" s="1292"/>
      <c r="D210" s="1292"/>
      <c r="E210" s="1292"/>
      <c r="F210" s="540">
        <v>-1</v>
      </c>
      <c r="G210" s="442">
        <v>-3</v>
      </c>
      <c r="H210" s="1128"/>
      <c r="I210" s="1128"/>
      <c r="J210" s="1128"/>
      <c r="K210" s="1128"/>
      <c r="L210" s="1128"/>
      <c r="M210" s="1128"/>
      <c r="N210" s="1128"/>
      <c r="O210" s="1128"/>
      <c r="P210" s="1128"/>
      <c r="Q210" s="1128"/>
    </row>
    <row r="211" spans="1:17" ht="11.25" customHeight="1">
      <c r="A211" s="1223" t="s">
        <v>528</v>
      </c>
      <c r="B211" s="1223"/>
      <c r="C211" s="1223"/>
      <c r="D211" s="1223"/>
      <c r="E211" s="439"/>
      <c r="F211" s="540">
        <v>-358</v>
      </c>
      <c r="G211" s="442">
        <v>-487</v>
      </c>
    </row>
    <row r="212" spans="1:17" ht="11.25" customHeight="1">
      <c r="A212" s="1431" t="s">
        <v>1563</v>
      </c>
      <c r="B212" s="1431"/>
      <c r="C212" s="1431"/>
      <c r="D212" s="1431"/>
      <c r="E212" s="1131"/>
      <c r="F212" s="1130">
        <v>-11</v>
      </c>
      <c r="G212" s="1132"/>
    </row>
    <row r="213" spans="1:17">
      <c r="A213" s="1233" t="s">
        <v>1300</v>
      </c>
      <c r="B213" s="1233"/>
      <c r="C213" s="1233"/>
      <c r="D213" s="1233"/>
      <c r="E213" s="446"/>
      <c r="F213" s="540">
        <v>-370</v>
      </c>
      <c r="G213" s="442">
        <v>-490</v>
      </c>
    </row>
    <row r="214" spans="1:17" ht="12" customHeight="1">
      <c r="A214" s="1224"/>
      <c r="B214" s="1224"/>
      <c r="C214" s="1224"/>
      <c r="D214" s="1224"/>
      <c r="E214" s="432"/>
      <c r="F214" s="536"/>
      <c r="G214" s="433"/>
    </row>
    <row r="215" spans="1:17" ht="12" customHeight="1">
      <c r="A215" s="1432" t="s">
        <v>1341</v>
      </c>
      <c r="B215" s="1432"/>
      <c r="C215" s="1432"/>
      <c r="D215" s="1431"/>
      <c r="E215" s="1131"/>
      <c r="F215" s="1130">
        <v>726</v>
      </c>
      <c r="G215" s="1132">
        <v>333</v>
      </c>
    </row>
    <row r="216" spans="1:17" ht="12" customHeight="1">
      <c r="A216" s="475"/>
      <c r="B216" s="938"/>
      <c r="C216" s="938"/>
      <c r="D216" s="469"/>
      <c r="E216" s="439"/>
      <c r="F216" s="543"/>
      <c r="G216" s="439"/>
    </row>
    <row r="217" spans="1:17">
      <c r="A217" s="1223" t="s">
        <v>32</v>
      </c>
      <c r="B217" s="1223"/>
      <c r="C217" s="1223"/>
      <c r="D217" s="1223"/>
      <c r="E217" s="439"/>
      <c r="F217" s="540">
        <v>2410</v>
      </c>
      <c r="G217" s="442">
        <v>2432</v>
      </c>
    </row>
    <row r="218" spans="1:17">
      <c r="A218" s="1223" t="s">
        <v>376</v>
      </c>
      <c r="B218" s="1223"/>
      <c r="C218" s="1223"/>
      <c r="D218" s="1223"/>
      <c r="E218" s="439"/>
      <c r="F218" s="572">
        <v>0.3</v>
      </c>
      <c r="G218" s="477">
        <v>0.14000000000000001</v>
      </c>
    </row>
    <row r="219" spans="1:17">
      <c r="A219" s="469"/>
      <c r="B219" s="925"/>
      <c r="C219" s="925"/>
      <c r="D219" s="469"/>
      <c r="E219" s="439"/>
      <c r="F219" s="543"/>
      <c r="G219" s="439"/>
    </row>
    <row r="220" spans="1:17">
      <c r="A220" s="1292" t="s">
        <v>1709</v>
      </c>
      <c r="B220" s="1292"/>
      <c r="C220" s="1292"/>
      <c r="D220" s="1292"/>
      <c r="E220" s="457"/>
      <c r="F220" s="590"/>
      <c r="G220" s="457"/>
    </row>
    <row r="221" spans="1:17">
      <c r="A221" s="475"/>
      <c r="B221" s="938"/>
      <c r="C221" s="938"/>
      <c r="D221" s="519"/>
      <c r="E221" s="446"/>
      <c r="F221" s="564"/>
      <c r="G221" s="480"/>
    </row>
    <row r="222" spans="1:17">
      <c r="A222" s="1223" t="s">
        <v>578</v>
      </c>
      <c r="B222" s="1223"/>
      <c r="C222" s="1223"/>
      <c r="D222" s="1223"/>
      <c r="E222" s="439"/>
      <c r="F222" s="540">
        <v>6398</v>
      </c>
      <c r="G222" s="442">
        <v>6059</v>
      </c>
    </row>
    <row r="223" spans="1:17">
      <c r="A223" s="1224" t="s">
        <v>343</v>
      </c>
      <c r="B223" s="1224"/>
      <c r="C223" s="1224"/>
      <c r="D223" s="1224"/>
      <c r="E223" s="432"/>
      <c r="F223" s="536">
        <v>-452</v>
      </c>
      <c r="G223" s="433">
        <v>-584</v>
      </c>
    </row>
    <row r="224" spans="1:17">
      <c r="A224" s="458"/>
      <c r="B224" s="911"/>
      <c r="C224" s="911"/>
      <c r="D224" s="439"/>
      <c r="E224" s="439"/>
      <c r="F224" s="540">
        <v>5946</v>
      </c>
      <c r="G224" s="442">
        <v>5475</v>
      </c>
    </row>
    <row r="225" spans="1:7">
      <c r="A225" s="471"/>
      <c r="B225" s="471"/>
      <c r="C225" s="471"/>
      <c r="D225" s="471"/>
      <c r="E225" s="471"/>
      <c r="F225" s="578"/>
      <c r="G225" s="471"/>
    </row>
    <row r="226" spans="1:7">
      <c r="A226" s="1223" t="s">
        <v>97</v>
      </c>
      <c r="B226" s="1223"/>
      <c r="C226" s="1223"/>
      <c r="D226" s="1223"/>
      <c r="E226" s="439"/>
      <c r="F226" s="591">
        <v>40.799999999999997</v>
      </c>
      <c r="G226" s="517">
        <v>44.4</v>
      </c>
    </row>
    <row r="227" spans="1:7">
      <c r="A227" s="207"/>
      <c r="B227" s="909"/>
      <c r="C227" s="909"/>
      <c r="D227" s="207"/>
      <c r="E227" s="207"/>
      <c r="F227" s="207"/>
      <c r="G227" s="207"/>
    </row>
    <row r="228" spans="1:7">
      <c r="A228" s="207"/>
      <c r="B228" s="909"/>
      <c r="C228" s="909"/>
      <c r="D228" s="207"/>
      <c r="E228" s="207"/>
      <c r="F228" s="207"/>
      <c r="G228" s="207"/>
    </row>
    <row r="229" spans="1:7">
      <c r="A229" s="207"/>
      <c r="B229" s="909"/>
      <c r="C229" s="909"/>
      <c r="D229" s="207"/>
      <c r="E229" s="207"/>
      <c r="F229" s="207"/>
      <c r="G229" s="207"/>
    </row>
    <row r="230" spans="1:7">
      <c r="A230" s="207"/>
      <c r="B230" s="909"/>
      <c r="C230" s="909"/>
      <c r="D230" s="207"/>
      <c r="E230" s="207"/>
      <c r="F230" s="207"/>
      <c r="G230" s="207"/>
    </row>
    <row r="231" spans="1:7">
      <c r="A231" s="207"/>
      <c r="B231" s="909"/>
      <c r="C231" s="909"/>
      <c r="D231" s="207"/>
      <c r="E231" s="207"/>
      <c r="F231" s="207"/>
      <c r="G231" s="207"/>
    </row>
    <row r="232" spans="1:7">
      <c r="A232" s="207"/>
      <c r="B232" s="909"/>
      <c r="C232" s="909"/>
      <c r="D232" s="207"/>
      <c r="E232" s="207"/>
      <c r="F232" s="207"/>
      <c r="G232" s="207"/>
    </row>
    <row r="233" spans="1:7">
      <c r="A233" s="336"/>
      <c r="B233" s="927"/>
      <c r="C233" s="927"/>
      <c r="D233" s="220"/>
      <c r="E233" s="220"/>
      <c r="F233" s="376"/>
      <c r="G233" s="312"/>
    </row>
    <row r="237" spans="1:7">
      <c r="A237" s="207"/>
      <c r="B237" s="909"/>
      <c r="C237" s="909"/>
      <c r="D237" s="207"/>
      <c r="E237" s="207"/>
      <c r="F237" s="207"/>
      <c r="G237" s="207"/>
    </row>
  </sheetData>
  <mergeCells count="109">
    <mergeCell ref="A1:G1"/>
    <mergeCell ref="A3:G3"/>
    <mergeCell ref="A5:G5"/>
    <mergeCell ref="A7:G7"/>
    <mergeCell ref="A9:G9"/>
    <mergeCell ref="A19:G19"/>
    <mergeCell ref="A21:G21"/>
    <mergeCell ref="A100:G100"/>
    <mergeCell ref="A85:G85"/>
    <mergeCell ref="A47:D47"/>
    <mergeCell ref="A11:G11"/>
    <mergeCell ref="A81:G81"/>
    <mergeCell ref="A83:G83"/>
    <mergeCell ref="A15:G15"/>
    <mergeCell ref="A17:G17"/>
    <mergeCell ref="A13:G13"/>
    <mergeCell ref="A23:G23"/>
    <mergeCell ref="A79:E79"/>
    <mergeCell ref="A25:G25"/>
    <mergeCell ref="A27:G27"/>
    <mergeCell ref="A29:G29"/>
    <mergeCell ref="A48:D48"/>
    <mergeCell ref="A49:D49"/>
    <mergeCell ref="A50:D50"/>
    <mergeCell ref="A226:D226"/>
    <mergeCell ref="A204:D204"/>
    <mergeCell ref="A211:D211"/>
    <mergeCell ref="A212:D212"/>
    <mergeCell ref="A223:D223"/>
    <mergeCell ref="A222:D222"/>
    <mergeCell ref="A218:D218"/>
    <mergeCell ref="A217:D217"/>
    <mergeCell ref="A214:D214"/>
    <mergeCell ref="A215:D215"/>
    <mergeCell ref="A220:D220"/>
    <mergeCell ref="A213:D213"/>
    <mergeCell ref="A210:E210"/>
    <mergeCell ref="A205:D205"/>
    <mergeCell ref="A206:D206"/>
    <mergeCell ref="A207:D207"/>
    <mergeCell ref="A208:D208"/>
    <mergeCell ref="A209:D209"/>
    <mergeCell ref="A203:D203"/>
    <mergeCell ref="A197:G197"/>
    <mergeCell ref="A199:G199"/>
    <mergeCell ref="A132:G132"/>
    <mergeCell ref="A134:G134"/>
    <mergeCell ref="A176:C176"/>
    <mergeCell ref="A177:C177"/>
    <mergeCell ref="A178:C178"/>
    <mergeCell ref="A179:C179"/>
    <mergeCell ref="A180:C180"/>
    <mergeCell ref="A181:C181"/>
    <mergeCell ref="A188:E188"/>
    <mergeCell ref="A189:E189"/>
    <mergeCell ref="A190:E190"/>
    <mergeCell ref="A191:E191"/>
    <mergeCell ref="C31:D31"/>
    <mergeCell ref="E31:F31"/>
    <mergeCell ref="A146:G146"/>
    <mergeCell ref="A136:G136"/>
    <mergeCell ref="A139:G139"/>
    <mergeCell ref="A138:G138"/>
    <mergeCell ref="A140:G140"/>
    <mergeCell ref="A142:G142"/>
    <mergeCell ref="A144:G144"/>
    <mergeCell ref="A128:G128"/>
    <mergeCell ref="A130:G130"/>
    <mergeCell ref="A119:G119"/>
    <mergeCell ref="A65:G65"/>
    <mergeCell ref="A40:G40"/>
    <mergeCell ref="A43:D43"/>
    <mergeCell ref="A44:D44"/>
    <mergeCell ref="A45:D45"/>
    <mergeCell ref="A88:D88"/>
    <mergeCell ref="A103:F103"/>
    <mergeCell ref="A105:F105"/>
    <mergeCell ref="A61:G61"/>
    <mergeCell ref="A63:G63"/>
    <mergeCell ref="A51:D51"/>
    <mergeCell ref="A54:D54"/>
    <mergeCell ref="A56:D56"/>
    <mergeCell ref="A59:G59"/>
    <mergeCell ref="A46:D46"/>
    <mergeCell ref="A52:D52"/>
    <mergeCell ref="A53:D53"/>
    <mergeCell ref="A55:D55"/>
    <mergeCell ref="A98:D98"/>
    <mergeCell ref="A122:E122"/>
    <mergeCell ref="A123:E123"/>
    <mergeCell ref="A113:G113"/>
    <mergeCell ref="A115:G115"/>
    <mergeCell ref="A117:G117"/>
    <mergeCell ref="A58:G58"/>
    <mergeCell ref="A124:E124"/>
    <mergeCell ref="A126:E126"/>
    <mergeCell ref="A148:G148"/>
    <mergeCell ref="A185:G185"/>
    <mergeCell ref="A170:G170"/>
    <mergeCell ref="A201:G201"/>
    <mergeCell ref="A195:G195"/>
    <mergeCell ref="A164:G164"/>
    <mergeCell ref="A166:G166"/>
    <mergeCell ref="A160:G160"/>
    <mergeCell ref="A193:G193"/>
    <mergeCell ref="A183:G183"/>
    <mergeCell ref="A172:G172"/>
    <mergeCell ref="A162:G162"/>
    <mergeCell ref="A168:G168"/>
  </mergeCells>
  <pageMargins left="0.7" right="0.7" top="0.75" bottom="0.75" header="0.3" footer="0.3"/>
  <pageSetup paperSize="9" scale="84" orientation="portrait" r:id="rId1"/>
  <rowBreaks count="4" manualBreakCount="4">
    <brk id="30" max="6" man="1"/>
    <brk id="85" max="6" man="1"/>
    <brk id="147" max="6" man="1"/>
    <brk id="184" max="6" man="1"/>
  </rowBreaks>
  <customProperties>
    <customPr name="SheetOptions" r:id="rId2"/>
  </customProperties>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6"/>
  <dimension ref="A1:Q23"/>
  <sheetViews>
    <sheetView zoomScaleNormal="100" workbookViewId="0">
      <selection sqref="A1:E1"/>
    </sheetView>
  </sheetViews>
  <sheetFormatPr defaultColWidth="8.6640625" defaultRowHeight="11.25"/>
  <cols>
    <col min="1" max="1" width="70" style="319" customWidth="1"/>
    <col min="2" max="5" width="15" style="229" customWidth="1"/>
    <col min="6" max="17" width="3.6640625" style="1023" customWidth="1"/>
    <col min="18" max="16384" width="8.6640625" style="1149"/>
  </cols>
  <sheetData>
    <row r="1" spans="1:17" s="1153" customFormat="1" ht="15.75" customHeight="1">
      <c r="A1" s="1252" t="s">
        <v>1504</v>
      </c>
      <c r="B1" s="1355"/>
      <c r="C1" s="1355"/>
      <c r="D1" s="1355"/>
      <c r="E1" s="1355"/>
      <c r="F1" s="1023"/>
      <c r="G1" s="1023"/>
      <c r="H1" s="1023"/>
      <c r="I1" s="1023"/>
      <c r="J1" s="1023"/>
      <c r="K1" s="1023"/>
      <c r="L1" s="1023"/>
      <c r="M1" s="1023"/>
      <c r="N1" s="1023"/>
      <c r="O1" s="1023"/>
      <c r="P1" s="1023"/>
      <c r="Q1" s="1023"/>
    </row>
    <row r="2" spans="1:17">
      <c r="A2" s="336"/>
      <c r="B2" s="220"/>
      <c r="C2" s="220"/>
      <c r="D2" s="220"/>
      <c r="E2" s="220"/>
    </row>
    <row r="3" spans="1:17" s="861" customFormat="1" ht="11.25" customHeight="1">
      <c r="A3" s="1246" t="s">
        <v>819</v>
      </c>
      <c r="B3" s="1246"/>
      <c r="C3" s="1246"/>
      <c r="D3" s="1246"/>
      <c r="E3" s="1246"/>
      <c r="F3" s="1023"/>
      <c r="G3" s="1023"/>
      <c r="H3" s="1023"/>
      <c r="I3" s="1023"/>
      <c r="J3" s="1023"/>
      <c r="K3" s="1023"/>
      <c r="L3" s="1023"/>
      <c r="M3" s="1023"/>
      <c r="N3" s="1023"/>
      <c r="O3" s="1023"/>
      <c r="P3" s="1023"/>
      <c r="Q3" s="1023"/>
    </row>
    <row r="4" spans="1:17" s="861" customFormat="1">
      <c r="A4" s="297"/>
      <c r="B4" s="273"/>
      <c r="C4" s="273"/>
      <c r="D4" s="273"/>
      <c r="E4" s="273"/>
      <c r="F4" s="1023"/>
      <c r="G4" s="1023"/>
      <c r="H4" s="1023"/>
      <c r="I4" s="1023"/>
      <c r="J4" s="1023"/>
      <c r="K4" s="1023"/>
      <c r="L4" s="1023"/>
      <c r="M4" s="1023"/>
      <c r="N4" s="1023"/>
      <c r="O4" s="1023"/>
      <c r="P4" s="1023"/>
      <c r="Q4" s="1023"/>
    </row>
    <row r="5" spans="1:17" ht="33.75" customHeight="1">
      <c r="A5" s="1246" t="s">
        <v>1693</v>
      </c>
      <c r="B5" s="1246"/>
      <c r="C5" s="1246"/>
      <c r="D5" s="1246"/>
      <c r="E5" s="1246"/>
    </row>
    <row r="6" spans="1:17" ht="11.25" customHeight="1">
      <c r="A6" s="336"/>
      <c r="B6" s="380"/>
      <c r="C6" s="380"/>
      <c r="D6" s="380"/>
      <c r="E6" s="380"/>
    </row>
    <row r="7" spans="1:17" ht="11.25" customHeight="1">
      <c r="A7" s="444"/>
      <c r="B7" s="582"/>
      <c r="C7" s="547">
        <v>2019</v>
      </c>
      <c r="D7" s="443"/>
      <c r="E7" s="397">
        <v>2018</v>
      </c>
    </row>
    <row r="8" spans="1:17" ht="11.25" customHeight="1">
      <c r="A8" s="460" t="s">
        <v>700</v>
      </c>
      <c r="B8" s="974" t="s">
        <v>1178</v>
      </c>
      <c r="C8" s="974" t="s">
        <v>647</v>
      </c>
      <c r="D8" s="638" t="s">
        <v>1178</v>
      </c>
      <c r="E8" s="638" t="s">
        <v>647</v>
      </c>
    </row>
    <row r="9" spans="1:17" ht="11.25" customHeight="1">
      <c r="A9" s="476" t="s">
        <v>863</v>
      </c>
      <c r="B9" s="583">
        <v>4.3</v>
      </c>
      <c r="C9" s="530">
        <v>0.5</v>
      </c>
      <c r="D9" s="511">
        <v>3.7</v>
      </c>
      <c r="E9" s="448">
        <v>0.4</v>
      </c>
    </row>
    <row r="10" spans="1:17" ht="11.25" customHeight="1">
      <c r="A10" s="476" t="s">
        <v>864</v>
      </c>
      <c r="B10" s="583">
        <v>0.2</v>
      </c>
      <c r="C10" s="530">
        <v>0.3</v>
      </c>
      <c r="D10" s="511">
        <v>0.2</v>
      </c>
      <c r="E10" s="448">
        <v>0.4</v>
      </c>
    </row>
    <row r="11" spans="1:17" ht="11.25" customHeight="1">
      <c r="A11" s="481" t="s">
        <v>865</v>
      </c>
      <c r="B11" s="584">
        <v>0.3</v>
      </c>
      <c r="C11" s="585"/>
      <c r="D11" s="512">
        <v>0.1</v>
      </c>
      <c r="E11" s="513">
        <v>0.1</v>
      </c>
    </row>
    <row r="12" spans="1:17" ht="11.25" customHeight="1">
      <c r="A12" s="459" t="s">
        <v>641</v>
      </c>
      <c r="B12" s="586">
        <v>4.8</v>
      </c>
      <c r="C12" s="587">
        <v>0.8</v>
      </c>
      <c r="D12" s="509">
        <v>4</v>
      </c>
      <c r="E12" s="510">
        <v>0.9</v>
      </c>
    </row>
    <row r="15" spans="1:17">
      <c r="C15" s="205"/>
      <c r="D15" s="205"/>
      <c r="E15" s="205"/>
    </row>
    <row r="16" spans="1:17">
      <c r="C16" s="205"/>
      <c r="D16" s="205"/>
      <c r="E16" s="205"/>
    </row>
    <row r="17" spans="3:5">
      <c r="C17" s="205"/>
      <c r="D17" s="205"/>
      <c r="E17" s="205"/>
    </row>
    <row r="18" spans="3:5">
      <c r="C18" s="205"/>
      <c r="D18" s="205"/>
      <c r="E18" s="205"/>
    </row>
    <row r="19" spans="3:5">
      <c r="C19" s="205"/>
      <c r="D19" s="205"/>
      <c r="E19" s="205"/>
    </row>
    <row r="20" spans="3:5">
      <c r="C20" s="205"/>
      <c r="D20" s="205"/>
      <c r="E20" s="205"/>
    </row>
    <row r="21" spans="3:5">
      <c r="C21" s="205"/>
      <c r="D21" s="205"/>
      <c r="E21" s="205"/>
    </row>
    <row r="22" spans="3:5">
      <c r="C22" s="205"/>
      <c r="D22" s="205"/>
      <c r="E22" s="205"/>
    </row>
    <row r="23" spans="3:5">
      <c r="C23" s="205"/>
      <c r="D23" s="205"/>
      <c r="E23" s="205"/>
    </row>
  </sheetData>
  <mergeCells count="3">
    <mergeCell ref="A1:E1"/>
    <mergeCell ref="A3:E3"/>
    <mergeCell ref="A5:E5"/>
  </mergeCells>
  <phoneticPr fontId="0" type="noConversion"/>
  <pageMargins left="0.75" right="0.75" top="1" bottom="1" header="0.5" footer="0.5"/>
  <pageSetup scale="87"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8"/>
  <dimension ref="A1:Q34"/>
  <sheetViews>
    <sheetView zoomScaleNormal="100" workbookViewId="0">
      <selection sqref="A1:F1"/>
    </sheetView>
  </sheetViews>
  <sheetFormatPr defaultColWidth="8.6640625" defaultRowHeight="11.25"/>
  <cols>
    <col min="1" max="1" width="8.33203125" style="205" customWidth="1"/>
    <col min="2" max="2" width="61.6640625" style="205" customWidth="1"/>
    <col min="3" max="6" width="15" style="205" customWidth="1"/>
    <col min="7" max="7" width="3.6640625" style="1023" customWidth="1"/>
    <col min="8" max="8" width="10.33203125" style="1023" customWidth="1"/>
    <col min="9" max="9" width="13.33203125" style="1023" customWidth="1"/>
    <col min="10" max="17" width="3.6640625" style="1023" customWidth="1"/>
    <col min="18" max="16384" width="8.6640625" style="1151"/>
  </cols>
  <sheetData>
    <row r="1" spans="1:6" ht="15.75" customHeight="1">
      <c r="A1" s="1252" t="s">
        <v>1503</v>
      </c>
      <c r="B1" s="1252"/>
      <c r="C1" s="1355"/>
      <c r="D1" s="1355"/>
      <c r="E1" s="1355"/>
      <c r="F1" s="1355"/>
    </row>
    <row r="2" spans="1:6" ht="11.25" customHeight="1">
      <c r="A2" s="292"/>
      <c r="B2" s="292"/>
      <c r="C2" s="345"/>
      <c r="D2" s="345"/>
      <c r="E2" s="345"/>
      <c r="F2" s="345"/>
    </row>
    <row r="3" spans="1:6" ht="11.25" customHeight="1">
      <c r="A3" s="1246" t="s">
        <v>1161</v>
      </c>
      <c r="B3" s="1246"/>
      <c r="C3" s="1246"/>
      <c r="D3" s="1246"/>
      <c r="E3" s="1246"/>
      <c r="F3" s="1246"/>
    </row>
    <row r="4" spans="1:6" ht="11.25" customHeight="1">
      <c r="A4" s="381"/>
      <c r="B4" s="292"/>
      <c r="C4" s="382"/>
      <c r="D4" s="382"/>
      <c r="E4" s="382"/>
      <c r="F4" s="382"/>
    </row>
    <row r="5" spans="1:6">
      <c r="A5" s="272"/>
      <c r="B5" s="272"/>
      <c r="C5" s="1436" t="s">
        <v>2</v>
      </c>
      <c r="D5" s="1436"/>
      <c r="E5" s="1436" t="s">
        <v>3</v>
      </c>
      <c r="F5" s="1436"/>
    </row>
    <row r="6" spans="1:6" ht="26.25" customHeight="1">
      <c r="A6" s="932"/>
      <c r="B6" s="932"/>
      <c r="C6" s="934" t="s">
        <v>1432</v>
      </c>
      <c r="D6" s="487" t="s">
        <v>1276</v>
      </c>
      <c r="E6" s="558">
        <v>2019</v>
      </c>
      <c r="F6" s="467">
        <v>2018</v>
      </c>
    </row>
    <row r="7" spans="1:6" ht="11.25" customHeight="1">
      <c r="A7" s="910" t="s">
        <v>969</v>
      </c>
      <c r="B7" s="910" t="s">
        <v>971</v>
      </c>
      <c r="C7" s="588">
        <v>4.1260199999999996</v>
      </c>
      <c r="D7" s="515">
        <v>4.2053599999999998</v>
      </c>
      <c r="E7" s="588">
        <v>4.1120299999999999</v>
      </c>
      <c r="F7" s="515">
        <v>4.3392200000000001</v>
      </c>
    </row>
    <row r="8" spans="1:6" ht="11.25" customHeight="1">
      <c r="A8" s="915" t="s">
        <v>614</v>
      </c>
      <c r="B8" s="915" t="s">
        <v>906</v>
      </c>
      <c r="C8" s="588">
        <v>4.5156999999999998</v>
      </c>
      <c r="D8" s="514">
        <v>4.444</v>
      </c>
      <c r="E8" s="588">
        <v>4.4135400000000002</v>
      </c>
      <c r="F8" s="515">
        <v>4.3087299999999997</v>
      </c>
    </row>
    <row r="9" spans="1:6" ht="11.25" customHeight="1">
      <c r="A9" s="915" t="s">
        <v>824</v>
      </c>
      <c r="B9" s="915" t="s">
        <v>907</v>
      </c>
      <c r="C9" s="588">
        <v>1.0853999999999999</v>
      </c>
      <c r="D9" s="514">
        <v>1.1269</v>
      </c>
      <c r="E9" s="588">
        <v>1.11683</v>
      </c>
      <c r="F9" s="515">
        <v>1.1548799999999999</v>
      </c>
    </row>
    <row r="10" spans="1:6" ht="11.25" customHeight="1">
      <c r="A10" s="915" t="s">
        <v>648</v>
      </c>
      <c r="B10" s="915" t="s">
        <v>908</v>
      </c>
      <c r="C10" s="588">
        <v>7.8205</v>
      </c>
      <c r="D10" s="514">
        <v>7.8750999999999998</v>
      </c>
      <c r="E10" s="588">
        <v>7.7338800000000001</v>
      </c>
      <c r="F10" s="515">
        <v>7.8073600000000001</v>
      </c>
    </row>
    <row r="11" spans="1:6" ht="11.25" customHeight="1">
      <c r="A11" s="915" t="s">
        <v>968</v>
      </c>
      <c r="B11" s="915" t="s">
        <v>1344</v>
      </c>
      <c r="C11" s="588">
        <v>7.4714999999999998</v>
      </c>
      <c r="D11" s="514">
        <v>7.4672999999999998</v>
      </c>
      <c r="E11" s="588">
        <v>7.4660700000000002</v>
      </c>
      <c r="F11" s="515">
        <v>7.4531799999999997</v>
      </c>
    </row>
    <row r="12" spans="1:6" ht="11.25" customHeight="1">
      <c r="A12" s="915" t="s">
        <v>4</v>
      </c>
      <c r="B12" s="915" t="s">
        <v>909</v>
      </c>
      <c r="C12" s="588">
        <v>0.8508</v>
      </c>
      <c r="D12" s="514">
        <v>0.89453000000000005</v>
      </c>
      <c r="E12" s="588">
        <v>0.87731000000000003</v>
      </c>
      <c r="F12" s="515">
        <v>0.88475000000000004</v>
      </c>
    </row>
    <row r="13" spans="1:6" ht="11.25" customHeight="1">
      <c r="A13" s="915" t="s">
        <v>6</v>
      </c>
      <c r="B13" s="915" t="s">
        <v>910</v>
      </c>
      <c r="C13" s="588">
        <v>80.186999999999998</v>
      </c>
      <c r="D13" s="514">
        <v>79.729799999999997</v>
      </c>
      <c r="E13" s="588">
        <v>78.850139999999996</v>
      </c>
      <c r="F13" s="515">
        <v>80.727739999999997</v>
      </c>
    </row>
    <row r="14" spans="1:6" ht="11.25" customHeight="1">
      <c r="A14" s="915" t="s">
        <v>5</v>
      </c>
      <c r="B14" s="915" t="s">
        <v>911</v>
      </c>
      <c r="C14" s="588">
        <v>121.94</v>
      </c>
      <c r="D14" s="514">
        <v>125.85</v>
      </c>
      <c r="E14" s="588">
        <v>122.05637</v>
      </c>
      <c r="F14" s="515">
        <v>130.40956</v>
      </c>
    </row>
    <row r="15" spans="1:6" ht="11.25" customHeight="1">
      <c r="A15" s="915" t="s">
        <v>823</v>
      </c>
      <c r="B15" s="915" t="s">
        <v>912</v>
      </c>
      <c r="C15" s="588">
        <v>9.8637999999999995</v>
      </c>
      <c r="D15" s="514">
        <v>9.9482999999999997</v>
      </c>
      <c r="E15" s="588">
        <v>9.8496699999999997</v>
      </c>
      <c r="F15" s="515">
        <v>9.6006300000000007</v>
      </c>
    </row>
    <row r="16" spans="1:6" ht="11.25" customHeight="1">
      <c r="A16" s="915" t="s">
        <v>1343</v>
      </c>
      <c r="B16" s="915" t="s">
        <v>1345</v>
      </c>
      <c r="C16" s="588">
        <v>69.956299999999999</v>
      </c>
      <c r="D16" s="514">
        <v>79.715299999999999</v>
      </c>
      <c r="E16" s="588">
        <v>72.459339999999997</v>
      </c>
      <c r="F16" s="515">
        <v>74.055070000000001</v>
      </c>
    </row>
    <row r="17" spans="1:6" ht="11.25" customHeight="1">
      <c r="A17" s="915" t="s">
        <v>920</v>
      </c>
      <c r="B17" s="915" t="s">
        <v>970</v>
      </c>
      <c r="C17" s="588">
        <v>4.2136500000000003</v>
      </c>
      <c r="D17" s="514">
        <v>4.2950100000000004</v>
      </c>
      <c r="E17" s="588">
        <v>4.1988399999999997</v>
      </c>
      <c r="F17" s="515">
        <v>4.4311299999999996</v>
      </c>
    </row>
    <row r="18" spans="1:6" ht="11.25" customHeight="1">
      <c r="A18" s="915" t="s">
        <v>871</v>
      </c>
      <c r="B18" s="915" t="s">
        <v>913</v>
      </c>
      <c r="C18" s="588">
        <v>10.4468</v>
      </c>
      <c r="D18" s="514">
        <v>10.254799999999999</v>
      </c>
      <c r="E18" s="588">
        <v>10.58666</v>
      </c>
      <c r="F18" s="515">
        <v>10.256740000000001</v>
      </c>
    </row>
    <row r="19" spans="1:6" ht="11.25" customHeight="1">
      <c r="A19" s="915" t="s">
        <v>825</v>
      </c>
      <c r="B19" s="915" t="s">
        <v>914</v>
      </c>
      <c r="C19" s="588">
        <v>1.5111000000000001</v>
      </c>
      <c r="D19" s="515">
        <v>1.5590999999999999</v>
      </c>
      <c r="E19" s="588">
        <v>1.52721</v>
      </c>
      <c r="F19" s="515">
        <v>1.5928599999999999</v>
      </c>
    </row>
    <row r="20" spans="1:6" ht="11.25" customHeight="1">
      <c r="A20" s="915" t="s">
        <v>822</v>
      </c>
      <c r="B20" s="915" t="s">
        <v>915</v>
      </c>
      <c r="C20" s="588">
        <v>1.1234</v>
      </c>
      <c r="D20" s="514">
        <v>1.145</v>
      </c>
      <c r="E20" s="588">
        <v>1.1195999999999999</v>
      </c>
      <c r="F20" s="515">
        <v>1.1814899999999999</v>
      </c>
    </row>
    <row r="21" spans="1:6">
      <c r="A21" s="389"/>
      <c r="B21" s="319"/>
      <c r="C21" s="383"/>
      <c r="D21" s="383"/>
      <c r="E21" s="383"/>
      <c r="F21" s="383"/>
    </row>
    <row r="29" spans="1:6">
      <c r="F29" s="384"/>
    </row>
    <row r="34" spans="3:3">
      <c r="C34" s="385"/>
    </row>
  </sheetData>
  <mergeCells count="4">
    <mergeCell ref="A1:F1"/>
    <mergeCell ref="A3:F3"/>
    <mergeCell ref="C5:D5"/>
    <mergeCell ref="E5:F5"/>
  </mergeCells>
  <pageMargins left="0.7" right="0.7" top="0.75" bottom="0.75" header="0.3" footer="0.3"/>
  <pageSetup paperSize="9" scale="81" orientation="portrait" r:id="rId1"/>
  <colBreaks count="1" manualBreakCount="1">
    <brk id="8" max="15" man="1"/>
  </colBreaks>
  <customProperties>
    <customPr name="SheetOptions" r:id="rId2"/>
  </customProperties>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8"/>
  <dimension ref="A1:Q132"/>
  <sheetViews>
    <sheetView zoomScaleNormal="100" workbookViewId="0">
      <selection sqref="A1:E1"/>
    </sheetView>
  </sheetViews>
  <sheetFormatPr defaultColWidth="8.6640625" defaultRowHeight="11.25"/>
  <cols>
    <col min="1" max="1" width="13.33203125" style="386" customWidth="1"/>
    <col min="2" max="2" width="46.6640625" style="924" customWidth="1"/>
    <col min="3" max="3" width="20" style="924" customWidth="1"/>
    <col min="4" max="4" width="40" style="924" customWidth="1"/>
    <col min="5" max="5" width="10" style="239" customWidth="1"/>
    <col min="6" max="17" width="3.6640625" style="205" customWidth="1"/>
    <col min="18" max="16384" width="8.6640625" style="1151"/>
  </cols>
  <sheetData>
    <row r="1" spans="1:17" ht="15.75">
      <c r="A1" s="1225" t="s">
        <v>1502</v>
      </c>
      <c r="B1" s="1225"/>
      <c r="C1" s="1225"/>
      <c r="D1" s="1225"/>
      <c r="E1" s="1225"/>
    </row>
    <row r="2" spans="1:17" ht="11.25" customHeight="1">
      <c r="A2" s="999"/>
      <c r="B2" s="595" t="s">
        <v>1057</v>
      </c>
      <c r="C2" s="610" t="s">
        <v>1057</v>
      </c>
      <c r="D2" s="610" t="s">
        <v>1057</v>
      </c>
      <c r="E2" s="372"/>
    </row>
    <row r="3" spans="1:17" ht="33.75" customHeight="1">
      <c r="A3" s="611" t="s">
        <v>81</v>
      </c>
      <c r="B3" s="913" t="s">
        <v>540</v>
      </c>
      <c r="C3" s="913" t="s">
        <v>541</v>
      </c>
      <c r="D3" s="913" t="s">
        <v>1050</v>
      </c>
      <c r="E3" s="487" t="s">
        <v>542</v>
      </c>
    </row>
    <row r="4" spans="1:17">
      <c r="A4" s="950" t="s">
        <v>580</v>
      </c>
      <c r="B4" s="1020" t="s">
        <v>977</v>
      </c>
      <c r="C4" s="915" t="s">
        <v>990</v>
      </c>
      <c r="D4" s="915" t="s">
        <v>1088</v>
      </c>
      <c r="E4" s="517" t="s">
        <v>875</v>
      </c>
    </row>
    <row r="5" spans="1:17">
      <c r="A5" s="950"/>
      <c r="B5" s="1020" t="s">
        <v>741</v>
      </c>
      <c r="C5" s="915" t="s">
        <v>213</v>
      </c>
      <c r="D5" s="915" t="s">
        <v>1088</v>
      </c>
      <c r="E5" s="517" t="s">
        <v>875</v>
      </c>
    </row>
    <row r="6" spans="1:17">
      <c r="A6" s="950"/>
      <c r="B6" s="1020" t="s">
        <v>1121</v>
      </c>
      <c r="C6" s="915" t="s">
        <v>213</v>
      </c>
      <c r="D6" s="915" t="s">
        <v>1088</v>
      </c>
      <c r="E6" s="517" t="s">
        <v>875</v>
      </c>
    </row>
    <row r="7" spans="1:17">
      <c r="A7" s="950"/>
      <c r="B7" s="1020" t="s">
        <v>1277</v>
      </c>
      <c r="C7" s="915" t="s">
        <v>213</v>
      </c>
      <c r="D7" s="915" t="s">
        <v>1088</v>
      </c>
      <c r="E7" s="517" t="s">
        <v>875</v>
      </c>
    </row>
    <row r="8" spans="1:17" ht="11.25" customHeight="1">
      <c r="A8" s="950"/>
      <c r="B8" s="1020" t="s">
        <v>745</v>
      </c>
      <c r="C8" s="915" t="s">
        <v>216</v>
      </c>
      <c r="D8" s="915" t="s">
        <v>1088</v>
      </c>
      <c r="E8" s="517" t="s">
        <v>874</v>
      </c>
    </row>
    <row r="9" spans="1:17">
      <c r="A9" s="950"/>
      <c r="B9" s="1020" t="s">
        <v>1162</v>
      </c>
      <c r="C9" s="915" t="s">
        <v>695</v>
      </c>
      <c r="D9" s="915" t="s">
        <v>1088</v>
      </c>
      <c r="E9" s="517" t="s">
        <v>875</v>
      </c>
    </row>
    <row r="10" spans="1:17">
      <c r="A10" s="950"/>
      <c r="B10" s="1020" t="s">
        <v>738</v>
      </c>
      <c r="C10" s="915" t="s">
        <v>695</v>
      </c>
      <c r="D10" s="915" t="s">
        <v>1087</v>
      </c>
      <c r="E10" s="517" t="s">
        <v>875</v>
      </c>
    </row>
    <row r="11" spans="1:17">
      <c r="A11" s="950"/>
      <c r="B11" s="1020" t="s">
        <v>926</v>
      </c>
      <c r="C11" s="915" t="s">
        <v>695</v>
      </c>
      <c r="D11" s="915" t="s">
        <v>1088</v>
      </c>
      <c r="E11" s="517" t="s">
        <v>875</v>
      </c>
    </row>
    <row r="12" spans="1:17">
      <c r="A12" s="950"/>
      <c r="B12" s="1020" t="s">
        <v>927</v>
      </c>
      <c r="C12" s="915" t="s">
        <v>695</v>
      </c>
      <c r="D12" s="915" t="s">
        <v>1088</v>
      </c>
      <c r="E12" s="517" t="s">
        <v>875</v>
      </c>
    </row>
    <row r="13" spans="1:17">
      <c r="A13" s="950"/>
      <c r="B13" s="1020" t="s">
        <v>58</v>
      </c>
      <c r="C13" s="915" t="s">
        <v>695</v>
      </c>
      <c r="D13" s="915" t="s">
        <v>1086</v>
      </c>
      <c r="E13" s="517" t="s">
        <v>875</v>
      </c>
    </row>
    <row r="14" spans="1:17">
      <c r="A14" s="950"/>
      <c r="B14" s="1020" t="s">
        <v>740</v>
      </c>
      <c r="C14" s="915" t="s">
        <v>813</v>
      </c>
      <c r="D14" s="915" t="s">
        <v>1088</v>
      </c>
      <c r="E14" s="517" t="s">
        <v>875</v>
      </c>
    </row>
    <row r="15" spans="1:17">
      <c r="A15" s="950"/>
      <c r="B15" s="1020" t="s">
        <v>1494</v>
      </c>
      <c r="C15" s="915" t="s">
        <v>813</v>
      </c>
      <c r="D15" s="915" t="s">
        <v>1088</v>
      </c>
      <c r="E15" s="517" t="s">
        <v>875</v>
      </c>
      <c r="F15" s="800"/>
      <c r="G15" s="800"/>
      <c r="H15" s="800"/>
      <c r="I15" s="800"/>
      <c r="J15" s="800"/>
      <c r="K15" s="800"/>
      <c r="L15" s="800"/>
      <c r="M15" s="800"/>
      <c r="N15" s="800"/>
      <c r="O15" s="800"/>
      <c r="P15" s="800"/>
      <c r="Q15" s="800"/>
    </row>
    <row r="16" spans="1:17">
      <c r="A16" s="950"/>
      <c r="B16" s="1020" t="s">
        <v>744</v>
      </c>
      <c r="C16" s="915" t="s">
        <v>215</v>
      </c>
      <c r="D16" s="915" t="s">
        <v>1088</v>
      </c>
      <c r="E16" s="517" t="s">
        <v>875</v>
      </c>
    </row>
    <row r="17" spans="1:17">
      <c r="A17" s="950"/>
      <c r="B17" s="1127" t="s">
        <v>1113</v>
      </c>
      <c r="C17" s="915" t="s">
        <v>215</v>
      </c>
      <c r="D17" s="915" t="s">
        <v>1088</v>
      </c>
      <c r="E17" s="517" t="s">
        <v>875</v>
      </c>
    </row>
    <row r="18" spans="1:17">
      <c r="A18" s="950"/>
      <c r="B18" s="1020" t="s">
        <v>1115</v>
      </c>
      <c r="C18" s="915" t="s">
        <v>215</v>
      </c>
      <c r="D18" s="915" t="s">
        <v>1088</v>
      </c>
      <c r="E18" s="517" t="s">
        <v>875</v>
      </c>
    </row>
    <row r="19" spans="1:17">
      <c r="A19" s="950"/>
      <c r="B19" s="1020" t="s">
        <v>1112</v>
      </c>
      <c r="C19" s="915" t="s">
        <v>215</v>
      </c>
      <c r="D19" s="915" t="s">
        <v>1088</v>
      </c>
      <c r="E19" s="517" t="s">
        <v>875</v>
      </c>
    </row>
    <row r="20" spans="1:17">
      <c r="A20" s="950"/>
      <c r="B20" s="1020" t="s">
        <v>1114</v>
      </c>
      <c r="C20" s="915" t="s">
        <v>215</v>
      </c>
      <c r="D20" s="915" t="s">
        <v>1088</v>
      </c>
      <c r="E20" s="517" t="s">
        <v>875</v>
      </c>
    </row>
    <row r="21" spans="1:17">
      <c r="A21" s="950"/>
      <c r="B21" s="1020" t="s">
        <v>1501</v>
      </c>
      <c r="C21" s="915" t="s">
        <v>215</v>
      </c>
      <c r="D21" s="915" t="s">
        <v>1088</v>
      </c>
      <c r="E21" s="517" t="s">
        <v>875</v>
      </c>
      <c r="F21" s="800"/>
      <c r="G21" s="800"/>
      <c r="H21" s="800"/>
      <c r="I21" s="800"/>
      <c r="J21" s="800"/>
      <c r="K21" s="800"/>
      <c r="L21" s="800"/>
      <c r="M21" s="800"/>
      <c r="N21" s="800"/>
      <c r="O21" s="800"/>
      <c r="P21" s="800"/>
      <c r="Q21" s="800"/>
    </row>
    <row r="22" spans="1:17">
      <c r="A22" s="950"/>
      <c r="B22" s="1020" t="s">
        <v>1189</v>
      </c>
      <c r="C22" s="915" t="s">
        <v>217</v>
      </c>
      <c r="D22" s="915" t="s">
        <v>1088</v>
      </c>
      <c r="E22" s="517" t="s">
        <v>875</v>
      </c>
    </row>
    <row r="23" spans="1:17">
      <c r="A23" s="950"/>
      <c r="B23" s="1020" t="s">
        <v>1278</v>
      </c>
      <c r="C23" s="915" t="s">
        <v>217</v>
      </c>
      <c r="D23" s="915" t="s">
        <v>1088</v>
      </c>
      <c r="E23" s="517" t="s">
        <v>875</v>
      </c>
    </row>
    <row r="24" spans="1:17">
      <c r="A24" s="950"/>
      <c r="B24" s="1020" t="s">
        <v>403</v>
      </c>
      <c r="C24" s="915" t="s">
        <v>217</v>
      </c>
      <c r="D24" s="915" t="s">
        <v>1087</v>
      </c>
      <c r="E24" s="517" t="s">
        <v>875</v>
      </c>
    </row>
    <row r="25" spans="1:17">
      <c r="A25" s="950"/>
      <c r="B25" s="1020" t="s">
        <v>918</v>
      </c>
      <c r="C25" s="915" t="s">
        <v>217</v>
      </c>
      <c r="D25" s="915" t="s">
        <v>1087</v>
      </c>
      <c r="E25" s="517" t="s">
        <v>875</v>
      </c>
    </row>
    <row r="26" spans="1:17">
      <c r="A26" s="950"/>
      <c r="B26" s="1020" t="s">
        <v>1377</v>
      </c>
      <c r="C26" s="915" t="s">
        <v>217</v>
      </c>
      <c r="D26" s="915" t="s">
        <v>1088</v>
      </c>
      <c r="E26" s="517" t="s">
        <v>875</v>
      </c>
      <c r="F26" s="800"/>
      <c r="G26" s="800"/>
      <c r="H26" s="800"/>
      <c r="I26" s="800"/>
      <c r="J26" s="800"/>
      <c r="K26" s="800"/>
      <c r="L26" s="800"/>
      <c r="M26" s="800"/>
      <c r="N26" s="800"/>
      <c r="O26" s="800"/>
      <c r="P26" s="800"/>
      <c r="Q26" s="800"/>
    </row>
    <row r="27" spans="1:17">
      <c r="A27" s="1021"/>
      <c r="B27" s="1020" t="s">
        <v>1406</v>
      </c>
      <c r="C27" s="1020" t="s">
        <v>217</v>
      </c>
      <c r="D27" s="1020" t="s">
        <v>1088</v>
      </c>
      <c r="E27" s="517" t="s">
        <v>875</v>
      </c>
      <c r="F27" s="1022"/>
      <c r="G27" s="1022"/>
      <c r="H27" s="1022"/>
      <c r="I27" s="1022"/>
      <c r="J27" s="1022"/>
      <c r="K27" s="1022"/>
      <c r="L27" s="1022"/>
      <c r="M27" s="1022"/>
      <c r="N27" s="1022"/>
      <c r="O27" s="1022"/>
      <c r="P27" s="1022"/>
      <c r="Q27" s="1022"/>
    </row>
    <row r="28" spans="1:17">
      <c r="A28" s="1021"/>
      <c r="B28" s="1020" t="s">
        <v>1477</v>
      </c>
      <c r="C28" s="1020" t="s">
        <v>217</v>
      </c>
      <c r="D28" s="1020" t="s">
        <v>1088</v>
      </c>
      <c r="E28" s="517" t="s">
        <v>875</v>
      </c>
      <c r="F28" s="1022"/>
      <c r="G28" s="1022"/>
      <c r="H28" s="1022"/>
      <c r="I28" s="1022"/>
      <c r="J28" s="1022"/>
      <c r="K28" s="1022"/>
      <c r="L28" s="1022"/>
      <c r="M28" s="1022"/>
      <c r="N28" s="1022"/>
      <c r="O28" s="1022"/>
      <c r="P28" s="1022"/>
      <c r="Q28" s="1022"/>
    </row>
    <row r="29" spans="1:17">
      <c r="A29" s="950"/>
      <c r="B29" s="1020" t="s">
        <v>747</v>
      </c>
      <c r="C29" s="915" t="s">
        <v>219</v>
      </c>
      <c r="D29" s="915" t="s">
        <v>1088</v>
      </c>
      <c r="E29" s="517" t="s">
        <v>875</v>
      </c>
    </row>
    <row r="30" spans="1:17">
      <c r="A30" s="950"/>
      <c r="B30" s="1020" t="s">
        <v>400</v>
      </c>
      <c r="C30" s="915" t="s">
        <v>396</v>
      </c>
      <c r="D30" s="915" t="s">
        <v>1088</v>
      </c>
      <c r="E30" s="517" t="s">
        <v>875</v>
      </c>
    </row>
    <row r="31" spans="1:17">
      <c r="A31" s="950"/>
      <c r="B31" s="1020" t="s">
        <v>1500</v>
      </c>
      <c r="C31" s="915" t="s">
        <v>1369</v>
      </c>
      <c r="D31" s="915" t="s">
        <v>1088</v>
      </c>
      <c r="E31" s="517" t="s">
        <v>875</v>
      </c>
      <c r="F31" s="800"/>
      <c r="G31" s="800"/>
      <c r="H31" s="800"/>
      <c r="I31" s="800"/>
      <c r="J31" s="800"/>
      <c r="K31" s="800"/>
      <c r="L31" s="800"/>
      <c r="M31" s="800"/>
      <c r="N31" s="800"/>
      <c r="O31" s="800"/>
      <c r="P31" s="800"/>
      <c r="Q31" s="800"/>
    </row>
    <row r="32" spans="1:17">
      <c r="A32" s="950"/>
      <c r="B32" s="1020" t="s">
        <v>1492</v>
      </c>
      <c r="C32" s="915" t="s">
        <v>1369</v>
      </c>
      <c r="D32" s="915" t="s">
        <v>1088</v>
      </c>
      <c r="E32" s="517" t="s">
        <v>875</v>
      </c>
      <c r="F32" s="800"/>
      <c r="G32" s="800"/>
      <c r="H32" s="800"/>
      <c r="I32" s="800"/>
      <c r="J32" s="800"/>
      <c r="K32" s="800"/>
      <c r="L32" s="800"/>
      <c r="M32" s="800"/>
      <c r="N32" s="800"/>
      <c r="O32" s="800"/>
      <c r="P32" s="800"/>
      <c r="Q32" s="800"/>
    </row>
    <row r="33" spans="1:17">
      <c r="A33" s="950"/>
      <c r="B33" s="1020" t="s">
        <v>1376</v>
      </c>
      <c r="C33" s="915" t="s">
        <v>1369</v>
      </c>
      <c r="D33" s="915" t="s">
        <v>1088</v>
      </c>
      <c r="E33" s="517" t="s">
        <v>875</v>
      </c>
      <c r="F33" s="800"/>
      <c r="G33" s="800"/>
      <c r="H33" s="800"/>
      <c r="I33" s="800"/>
      <c r="J33" s="800"/>
      <c r="K33" s="800"/>
      <c r="L33" s="800"/>
      <c r="M33" s="800"/>
      <c r="N33" s="800"/>
      <c r="O33" s="800"/>
      <c r="P33" s="800"/>
      <c r="Q33" s="800"/>
    </row>
    <row r="34" spans="1:17">
      <c r="A34" s="950"/>
      <c r="B34" s="1020" t="s">
        <v>1116</v>
      </c>
      <c r="C34" s="915" t="s">
        <v>177</v>
      </c>
      <c r="D34" s="915" t="s">
        <v>1088</v>
      </c>
      <c r="E34" s="517" t="s">
        <v>875</v>
      </c>
    </row>
    <row r="35" spans="1:17">
      <c r="A35" s="950"/>
      <c r="B35" s="1020" t="s">
        <v>739</v>
      </c>
      <c r="C35" s="915" t="s">
        <v>177</v>
      </c>
      <c r="D35" s="915" t="s">
        <v>1087</v>
      </c>
      <c r="E35" s="517" t="s">
        <v>875</v>
      </c>
    </row>
    <row r="36" spans="1:17">
      <c r="A36" s="950"/>
      <c r="B36" s="1020" t="s">
        <v>1366</v>
      </c>
      <c r="C36" s="915" t="s">
        <v>177</v>
      </c>
      <c r="D36" s="915" t="s">
        <v>1088</v>
      </c>
      <c r="E36" s="517" t="s">
        <v>875</v>
      </c>
      <c r="F36" s="798"/>
      <c r="G36" s="798"/>
      <c r="H36" s="798"/>
      <c r="I36" s="798"/>
      <c r="J36" s="798"/>
      <c r="K36" s="798"/>
      <c r="L36" s="798"/>
      <c r="M36" s="798"/>
      <c r="N36" s="798"/>
      <c r="O36" s="798"/>
      <c r="P36" s="798"/>
      <c r="Q36" s="798"/>
    </row>
    <row r="37" spans="1:17">
      <c r="A37" s="950"/>
      <c r="B37" s="1020" t="s">
        <v>919</v>
      </c>
      <c r="C37" s="915" t="s">
        <v>146</v>
      </c>
      <c r="D37" s="915" t="s">
        <v>1087</v>
      </c>
      <c r="E37" s="517" t="s">
        <v>875</v>
      </c>
    </row>
    <row r="38" spans="1:17">
      <c r="A38" s="950"/>
      <c r="B38" s="1020" t="s">
        <v>947</v>
      </c>
      <c r="C38" s="915" t="s">
        <v>146</v>
      </c>
      <c r="D38" s="915" t="s">
        <v>1087</v>
      </c>
      <c r="E38" s="517" t="s">
        <v>875</v>
      </c>
    </row>
    <row r="39" spans="1:17">
      <c r="A39" s="950"/>
      <c r="B39" s="1020" t="s">
        <v>1491</v>
      </c>
      <c r="C39" s="915" t="s">
        <v>146</v>
      </c>
      <c r="D39" s="915" t="s">
        <v>1088</v>
      </c>
      <c r="E39" s="517" t="s">
        <v>875</v>
      </c>
    </row>
    <row r="40" spans="1:17">
      <c r="A40" s="950"/>
      <c r="B40" s="1020" t="s">
        <v>1475</v>
      </c>
      <c r="C40" s="915" t="s">
        <v>146</v>
      </c>
      <c r="D40" s="915" t="s">
        <v>1088</v>
      </c>
      <c r="E40" s="517" t="s">
        <v>875</v>
      </c>
    </row>
    <row r="41" spans="1:17">
      <c r="A41" s="950"/>
      <c r="B41" s="1020" t="s">
        <v>1117</v>
      </c>
      <c r="C41" s="915" t="s">
        <v>146</v>
      </c>
      <c r="D41" s="915" t="s">
        <v>1088</v>
      </c>
      <c r="E41" s="517" t="s">
        <v>875</v>
      </c>
    </row>
    <row r="42" spans="1:17">
      <c r="A42" s="950"/>
      <c r="B42" s="1020" t="s">
        <v>948</v>
      </c>
      <c r="C42" s="915" t="s">
        <v>218</v>
      </c>
      <c r="D42" s="915" t="s">
        <v>1088</v>
      </c>
      <c r="E42" s="517" t="s">
        <v>875</v>
      </c>
    </row>
    <row r="43" spans="1:17">
      <c r="A43" s="950"/>
      <c r="B43" s="1020" t="s">
        <v>746</v>
      </c>
      <c r="C43" s="915" t="s">
        <v>218</v>
      </c>
      <c r="D43" s="915" t="s">
        <v>1088</v>
      </c>
      <c r="E43" s="517" t="s">
        <v>875</v>
      </c>
    </row>
    <row r="44" spans="1:17">
      <c r="A44" s="950"/>
      <c r="B44" s="1020" t="s">
        <v>53</v>
      </c>
      <c r="C44" s="915" t="s">
        <v>218</v>
      </c>
      <c r="D44" s="915" t="s">
        <v>1088</v>
      </c>
      <c r="E44" s="517" t="s">
        <v>875</v>
      </c>
    </row>
    <row r="45" spans="1:17">
      <c r="A45" s="950"/>
      <c r="B45" s="1020" t="s">
        <v>1495</v>
      </c>
      <c r="C45" s="915" t="s">
        <v>218</v>
      </c>
      <c r="D45" s="915" t="s">
        <v>1088</v>
      </c>
      <c r="E45" s="517" t="s">
        <v>875</v>
      </c>
      <c r="F45" s="800"/>
      <c r="G45" s="800"/>
      <c r="H45" s="800"/>
      <c r="I45" s="800"/>
      <c r="J45" s="800"/>
      <c r="K45" s="800"/>
      <c r="L45" s="800"/>
      <c r="M45" s="800"/>
      <c r="N45" s="800"/>
      <c r="O45" s="800"/>
      <c r="P45" s="800"/>
      <c r="Q45" s="800"/>
    </row>
    <row r="46" spans="1:17">
      <c r="A46" s="950"/>
      <c r="B46" s="1020" t="s">
        <v>1478</v>
      </c>
      <c r="C46" s="915" t="s">
        <v>144</v>
      </c>
      <c r="D46" s="915" t="s">
        <v>1088</v>
      </c>
      <c r="E46" s="517" t="s">
        <v>875</v>
      </c>
    </row>
    <row r="47" spans="1:17">
      <c r="A47" s="950"/>
      <c r="B47" s="1020" t="s">
        <v>399</v>
      </c>
      <c r="C47" s="915" t="s">
        <v>754</v>
      </c>
      <c r="D47" s="915" t="s">
        <v>1088</v>
      </c>
      <c r="E47" s="517" t="s">
        <v>875</v>
      </c>
      <c r="F47" s="666"/>
      <c r="G47" s="666"/>
      <c r="H47" s="666"/>
      <c r="I47" s="666"/>
      <c r="J47" s="666"/>
      <c r="K47" s="666"/>
      <c r="L47" s="666"/>
      <c r="M47" s="666"/>
      <c r="N47" s="666"/>
      <c r="O47" s="666"/>
      <c r="P47" s="666"/>
      <c r="Q47" s="666"/>
    </row>
    <row r="48" spans="1:17">
      <c r="A48" s="950"/>
      <c r="B48" s="1020" t="s">
        <v>1370</v>
      </c>
      <c r="C48" s="915" t="s">
        <v>754</v>
      </c>
      <c r="D48" s="915" t="s">
        <v>1088</v>
      </c>
      <c r="E48" s="517" t="s">
        <v>875</v>
      </c>
      <c r="F48" s="800"/>
      <c r="G48" s="800"/>
      <c r="H48" s="800"/>
      <c r="I48" s="800"/>
      <c r="J48" s="800"/>
      <c r="K48" s="800"/>
      <c r="L48" s="800"/>
      <c r="M48" s="800"/>
      <c r="N48" s="800"/>
      <c r="O48" s="800"/>
      <c r="P48" s="800"/>
      <c r="Q48" s="800"/>
    </row>
    <row r="49" spans="1:17">
      <c r="A49" s="950"/>
      <c r="B49" s="1020" t="s">
        <v>1373</v>
      </c>
      <c r="C49" s="915" t="s">
        <v>754</v>
      </c>
      <c r="D49" s="915" t="s">
        <v>1088</v>
      </c>
      <c r="E49" s="517" t="s">
        <v>875</v>
      </c>
      <c r="F49" s="800"/>
      <c r="G49" s="800"/>
      <c r="H49" s="800"/>
      <c r="I49" s="800"/>
      <c r="J49" s="800"/>
      <c r="K49" s="800"/>
      <c r="L49" s="800"/>
      <c r="M49" s="800"/>
      <c r="N49" s="800"/>
      <c r="O49" s="800"/>
      <c r="P49" s="800"/>
      <c r="Q49" s="800"/>
    </row>
    <row r="50" spans="1:17">
      <c r="A50" s="950"/>
      <c r="B50" s="1020" t="s">
        <v>743</v>
      </c>
      <c r="C50" s="915" t="s">
        <v>752</v>
      </c>
      <c r="D50" s="915" t="s">
        <v>1087</v>
      </c>
      <c r="E50" s="517" t="s">
        <v>875</v>
      </c>
      <c r="F50" s="666"/>
      <c r="G50" s="666"/>
      <c r="H50" s="666"/>
      <c r="I50" s="666"/>
      <c r="J50" s="666"/>
      <c r="K50" s="666"/>
      <c r="L50" s="666"/>
      <c r="M50" s="666"/>
      <c r="N50" s="666"/>
      <c r="O50" s="666"/>
      <c r="P50" s="666"/>
      <c r="Q50" s="666"/>
    </row>
    <row r="51" spans="1:17">
      <c r="A51" s="950"/>
      <c r="B51" s="1020" t="s">
        <v>1364</v>
      </c>
      <c r="C51" s="915" t="s">
        <v>752</v>
      </c>
      <c r="D51" s="915" t="s">
        <v>1088</v>
      </c>
      <c r="E51" s="517" t="s">
        <v>875</v>
      </c>
      <c r="F51" s="797"/>
      <c r="G51" s="797"/>
      <c r="H51" s="797"/>
      <c r="I51" s="797"/>
      <c r="J51" s="797"/>
      <c r="K51" s="797"/>
      <c r="L51" s="797"/>
      <c r="M51" s="797"/>
      <c r="N51" s="797"/>
      <c r="O51" s="797"/>
      <c r="P51" s="797"/>
      <c r="Q51" s="797"/>
    </row>
    <row r="52" spans="1:17">
      <c r="A52" s="950"/>
      <c r="B52" s="1020" t="s">
        <v>1367</v>
      </c>
      <c r="C52" s="915" t="s">
        <v>752</v>
      </c>
      <c r="D52" s="915" t="s">
        <v>1088</v>
      </c>
      <c r="E52" s="517" t="s">
        <v>875</v>
      </c>
      <c r="F52" s="798"/>
      <c r="G52" s="798"/>
      <c r="H52" s="798"/>
      <c r="I52" s="798"/>
      <c r="J52" s="798"/>
      <c r="K52" s="798"/>
      <c r="L52" s="798"/>
      <c r="M52" s="798"/>
      <c r="N52" s="798"/>
      <c r="O52" s="798"/>
      <c r="P52" s="798"/>
      <c r="Q52" s="798"/>
    </row>
    <row r="53" spans="1:17">
      <c r="A53" s="950"/>
      <c r="B53" s="1020" t="s">
        <v>1279</v>
      </c>
      <c r="C53" s="915" t="s">
        <v>214</v>
      </c>
      <c r="D53" s="915" t="s">
        <v>1088</v>
      </c>
      <c r="E53" s="517" t="s">
        <v>875</v>
      </c>
      <c r="F53" s="666"/>
      <c r="G53" s="666"/>
      <c r="H53" s="666"/>
      <c r="I53" s="666"/>
      <c r="J53" s="666"/>
      <c r="K53" s="666"/>
      <c r="L53" s="666"/>
      <c r="M53" s="666"/>
      <c r="N53" s="666"/>
      <c r="O53" s="666"/>
      <c r="P53" s="666"/>
      <c r="Q53" s="666"/>
    </row>
    <row r="54" spans="1:17">
      <c r="A54" s="950"/>
      <c r="B54" s="1020" t="s">
        <v>742</v>
      </c>
      <c r="C54" s="915" t="s">
        <v>214</v>
      </c>
      <c r="D54" s="915" t="s">
        <v>1087</v>
      </c>
      <c r="E54" s="517" t="s">
        <v>875</v>
      </c>
      <c r="F54" s="687"/>
      <c r="G54" s="687"/>
      <c r="H54" s="687"/>
      <c r="I54" s="687"/>
      <c r="J54" s="687"/>
      <c r="K54" s="687"/>
      <c r="L54" s="687"/>
      <c r="M54" s="687"/>
      <c r="N54" s="687"/>
      <c r="O54" s="687"/>
      <c r="P54" s="687"/>
      <c r="Q54" s="687"/>
    </row>
    <row r="55" spans="1:17">
      <c r="A55" s="950"/>
      <c r="B55" s="1020" t="s">
        <v>1497</v>
      </c>
      <c r="C55" s="915" t="s">
        <v>214</v>
      </c>
      <c r="D55" s="915" t="s">
        <v>1088</v>
      </c>
      <c r="E55" s="517" t="s">
        <v>875</v>
      </c>
      <c r="F55" s="800"/>
      <c r="G55" s="800"/>
      <c r="H55" s="800"/>
      <c r="I55" s="800"/>
      <c r="J55" s="800"/>
      <c r="K55" s="800"/>
      <c r="L55" s="800"/>
      <c r="M55" s="800"/>
      <c r="N55" s="800"/>
      <c r="O55" s="800"/>
      <c r="P55" s="800"/>
      <c r="Q55" s="800"/>
    </row>
    <row r="56" spans="1:17">
      <c r="A56" s="950"/>
      <c r="B56" s="1020" t="s">
        <v>1123</v>
      </c>
      <c r="C56" s="915" t="s">
        <v>812</v>
      </c>
      <c r="D56" s="915" t="s">
        <v>1088</v>
      </c>
      <c r="E56" s="517" t="s">
        <v>875</v>
      </c>
      <c r="F56" s="687"/>
      <c r="G56" s="687"/>
      <c r="H56" s="687"/>
      <c r="I56" s="687"/>
      <c r="J56" s="687"/>
      <c r="K56" s="687"/>
      <c r="L56" s="687"/>
      <c r="M56" s="687"/>
      <c r="N56" s="687"/>
      <c r="O56" s="687"/>
      <c r="P56" s="687"/>
      <c r="Q56" s="687"/>
    </row>
    <row r="57" spans="1:17">
      <c r="A57" s="950"/>
      <c r="B57" s="1020" t="s">
        <v>1111</v>
      </c>
      <c r="C57" s="915" t="s">
        <v>751</v>
      </c>
      <c r="D57" s="915" t="s">
        <v>1088</v>
      </c>
      <c r="E57" s="517" t="s">
        <v>875</v>
      </c>
      <c r="F57" s="687"/>
      <c r="G57" s="687"/>
      <c r="H57" s="687"/>
      <c r="I57" s="687"/>
      <c r="J57" s="687"/>
      <c r="K57" s="687"/>
      <c r="L57" s="687"/>
      <c r="M57" s="687"/>
      <c r="N57" s="687"/>
      <c r="O57" s="687"/>
      <c r="P57" s="687"/>
      <c r="Q57" s="687"/>
    </row>
    <row r="58" spans="1:17">
      <c r="A58" s="950"/>
      <c r="B58" s="1020" t="s">
        <v>1474</v>
      </c>
      <c r="C58" s="915" t="s">
        <v>751</v>
      </c>
      <c r="D58" s="915" t="s">
        <v>1087</v>
      </c>
      <c r="E58" s="517" t="s">
        <v>875</v>
      </c>
      <c r="F58" s="687"/>
      <c r="G58" s="687"/>
      <c r="H58" s="687"/>
      <c r="I58" s="687"/>
      <c r="J58" s="687"/>
      <c r="K58" s="687"/>
      <c r="L58" s="687"/>
      <c r="M58" s="687"/>
      <c r="N58" s="687"/>
      <c r="O58" s="687"/>
      <c r="P58" s="687"/>
      <c r="Q58" s="687"/>
    </row>
    <row r="59" spans="1:17">
      <c r="A59" s="950"/>
      <c r="B59" s="1020" t="s">
        <v>1368</v>
      </c>
      <c r="C59" s="915" t="s">
        <v>751</v>
      </c>
      <c r="D59" s="915" t="s">
        <v>1088</v>
      </c>
      <c r="E59" s="517" t="s">
        <v>875</v>
      </c>
      <c r="F59" s="798"/>
      <c r="G59" s="798"/>
      <c r="H59" s="798"/>
      <c r="I59" s="798"/>
      <c r="J59" s="798"/>
      <c r="K59" s="798"/>
      <c r="L59" s="798"/>
      <c r="M59" s="798"/>
      <c r="N59" s="798"/>
      <c r="O59" s="798"/>
      <c r="P59" s="798"/>
      <c r="Q59" s="798"/>
    </row>
    <row r="60" spans="1:17">
      <c r="A60" s="950"/>
      <c r="B60" s="1020" t="s">
        <v>1496</v>
      </c>
      <c r="C60" s="915" t="s">
        <v>751</v>
      </c>
      <c r="D60" s="915" t="s">
        <v>1088</v>
      </c>
      <c r="E60" s="517" t="s">
        <v>875</v>
      </c>
      <c r="F60" s="800"/>
      <c r="G60" s="800"/>
      <c r="H60" s="800"/>
      <c r="I60" s="800"/>
      <c r="J60" s="800"/>
      <c r="K60" s="800"/>
      <c r="L60" s="800"/>
      <c r="M60" s="800"/>
      <c r="N60" s="800"/>
      <c r="O60" s="800"/>
      <c r="P60" s="800"/>
      <c r="Q60" s="800"/>
    </row>
    <row r="61" spans="1:17" ht="11.25" customHeight="1">
      <c r="A61" s="950" t="s">
        <v>880</v>
      </c>
      <c r="B61" s="1020" t="s">
        <v>679</v>
      </c>
      <c r="C61" s="915" t="s">
        <v>233</v>
      </c>
      <c r="D61" s="915" t="s">
        <v>1088</v>
      </c>
      <c r="E61" s="517" t="s">
        <v>875</v>
      </c>
    </row>
    <row r="62" spans="1:17">
      <c r="A62" s="950"/>
      <c r="B62" s="1020" t="s">
        <v>295</v>
      </c>
      <c r="C62" s="915" t="s">
        <v>946</v>
      </c>
      <c r="D62" s="915" t="s">
        <v>1087</v>
      </c>
      <c r="E62" s="517" t="s">
        <v>875</v>
      </c>
    </row>
    <row r="63" spans="1:17">
      <c r="A63" s="950"/>
      <c r="B63" s="1020" t="s">
        <v>617</v>
      </c>
      <c r="C63" s="915" t="s">
        <v>223</v>
      </c>
      <c r="D63" s="915" t="s">
        <v>1088</v>
      </c>
      <c r="E63" s="517" t="s">
        <v>875</v>
      </c>
    </row>
    <row r="64" spans="1:17">
      <c r="A64" s="950"/>
      <c r="B64" s="1020" t="s">
        <v>782</v>
      </c>
      <c r="C64" s="915" t="s">
        <v>229</v>
      </c>
      <c r="D64" s="915" t="s">
        <v>1088</v>
      </c>
      <c r="E64" s="517" t="s">
        <v>875</v>
      </c>
    </row>
    <row r="65" spans="1:17">
      <c r="A65" s="950"/>
      <c r="B65" s="1020" t="s">
        <v>783</v>
      </c>
      <c r="C65" s="915" t="s">
        <v>231</v>
      </c>
      <c r="D65" s="915" t="s">
        <v>1088</v>
      </c>
      <c r="E65" s="517" t="s">
        <v>875</v>
      </c>
    </row>
    <row r="66" spans="1:17">
      <c r="A66" s="950"/>
      <c r="B66" s="1020" t="s">
        <v>878</v>
      </c>
      <c r="C66" s="915" t="s">
        <v>226</v>
      </c>
      <c r="D66" s="915" t="s">
        <v>1088</v>
      </c>
      <c r="E66" s="517" t="s">
        <v>875</v>
      </c>
    </row>
    <row r="67" spans="1:17">
      <c r="A67" s="950"/>
      <c r="B67" s="1020" t="s">
        <v>784</v>
      </c>
      <c r="C67" s="915" t="s">
        <v>230</v>
      </c>
      <c r="D67" s="915" t="s">
        <v>1088</v>
      </c>
      <c r="E67" s="517" t="s">
        <v>875</v>
      </c>
    </row>
    <row r="68" spans="1:17">
      <c r="A68" s="950"/>
      <c r="B68" s="1020" t="s">
        <v>677</v>
      </c>
      <c r="C68" s="915" t="s">
        <v>228</v>
      </c>
      <c r="D68" s="915" t="s">
        <v>1088</v>
      </c>
      <c r="E68" s="517" t="s">
        <v>875</v>
      </c>
    </row>
    <row r="69" spans="1:17">
      <c r="A69" s="950"/>
      <c r="B69" s="1020" t="s">
        <v>979</v>
      </c>
      <c r="C69" s="915" t="s">
        <v>985</v>
      </c>
      <c r="D69" s="915" t="s">
        <v>1088</v>
      </c>
      <c r="E69" s="517" t="s">
        <v>875</v>
      </c>
    </row>
    <row r="70" spans="1:17">
      <c r="A70" s="950"/>
      <c r="B70" s="1020" t="s">
        <v>1481</v>
      </c>
      <c r="C70" s="915" t="s">
        <v>224</v>
      </c>
      <c r="D70" s="915" t="s">
        <v>1088</v>
      </c>
      <c r="E70" s="517" t="s">
        <v>875</v>
      </c>
    </row>
    <row r="71" spans="1:17">
      <c r="A71" s="950"/>
      <c r="B71" s="1020" t="s">
        <v>981</v>
      </c>
      <c r="C71" s="915" t="s">
        <v>404</v>
      </c>
      <c r="D71" s="915" t="s">
        <v>1088</v>
      </c>
      <c r="E71" s="517" t="s">
        <v>875</v>
      </c>
    </row>
    <row r="72" spans="1:17">
      <c r="A72" s="950"/>
      <c r="B72" s="1020" t="s">
        <v>29</v>
      </c>
      <c r="C72" s="915" t="s">
        <v>232</v>
      </c>
      <c r="D72" s="915" t="s">
        <v>1088</v>
      </c>
      <c r="E72" s="517" t="s">
        <v>875</v>
      </c>
    </row>
    <row r="73" spans="1:17">
      <c r="A73" s="950"/>
      <c r="B73" s="1020" t="s">
        <v>615</v>
      </c>
      <c r="C73" s="915" t="s">
        <v>225</v>
      </c>
      <c r="D73" s="915" t="s">
        <v>1088</v>
      </c>
      <c r="E73" s="517" t="s">
        <v>875</v>
      </c>
    </row>
    <row r="74" spans="1:17">
      <c r="A74" s="950"/>
      <c r="B74" s="1020" t="s">
        <v>982</v>
      </c>
      <c r="C74" s="915" t="s">
        <v>984</v>
      </c>
      <c r="D74" s="915" t="s">
        <v>1088</v>
      </c>
      <c r="E74" s="517" t="s">
        <v>875</v>
      </c>
    </row>
    <row r="75" spans="1:17">
      <c r="A75" s="950"/>
      <c r="B75" s="1020" t="s">
        <v>1152</v>
      </c>
      <c r="C75" s="915" t="s">
        <v>222</v>
      </c>
      <c r="D75" s="915" t="s">
        <v>1088</v>
      </c>
      <c r="E75" s="517" t="s">
        <v>875</v>
      </c>
    </row>
    <row r="76" spans="1:17">
      <c r="A76" s="950"/>
      <c r="B76" s="1020" t="s">
        <v>1190</v>
      </c>
      <c r="C76" s="915" t="s">
        <v>222</v>
      </c>
      <c r="D76" s="915" t="s">
        <v>1088</v>
      </c>
      <c r="E76" s="517" t="s">
        <v>875</v>
      </c>
    </row>
    <row r="77" spans="1:17">
      <c r="A77" s="950"/>
      <c r="B77" s="1020" t="s">
        <v>838</v>
      </c>
      <c r="C77" s="915" t="s">
        <v>222</v>
      </c>
      <c r="D77" s="915" t="s">
        <v>1088</v>
      </c>
      <c r="E77" s="517" t="s">
        <v>875</v>
      </c>
      <c r="F77" s="666"/>
      <c r="G77" s="666"/>
      <c r="H77" s="666"/>
      <c r="I77" s="666"/>
      <c r="J77" s="666"/>
      <c r="K77" s="666"/>
      <c r="L77" s="666"/>
      <c r="M77" s="666"/>
      <c r="N77" s="666"/>
      <c r="O77" s="666"/>
      <c r="P77" s="666"/>
      <c r="Q77" s="666"/>
    </row>
    <row r="78" spans="1:17">
      <c r="A78" s="950"/>
      <c r="B78" s="1020" t="s">
        <v>1118</v>
      </c>
      <c r="C78" s="915" t="s">
        <v>222</v>
      </c>
      <c r="D78" s="915" t="s">
        <v>1088</v>
      </c>
      <c r="E78" s="517" t="s">
        <v>875</v>
      </c>
      <c r="F78" s="687"/>
      <c r="G78" s="687"/>
      <c r="H78" s="687"/>
      <c r="I78" s="687"/>
      <c r="J78" s="687"/>
      <c r="K78" s="687"/>
      <c r="L78" s="687"/>
      <c r="M78" s="687"/>
      <c r="N78" s="687"/>
      <c r="O78" s="687"/>
      <c r="P78" s="687"/>
      <c r="Q78" s="687"/>
    </row>
    <row r="79" spans="1:17">
      <c r="A79" s="950"/>
      <c r="B79" s="1020" t="s">
        <v>837</v>
      </c>
      <c r="C79" s="915" t="s">
        <v>222</v>
      </c>
      <c r="D79" s="915" t="s">
        <v>1088</v>
      </c>
      <c r="E79" s="517" t="s">
        <v>875</v>
      </c>
      <c r="F79" s="687"/>
      <c r="G79" s="687"/>
      <c r="H79" s="687"/>
      <c r="I79" s="687"/>
      <c r="J79" s="687"/>
      <c r="K79" s="687"/>
      <c r="L79" s="687"/>
      <c r="M79" s="687"/>
      <c r="N79" s="687"/>
      <c r="O79" s="687"/>
      <c r="P79" s="687"/>
      <c r="Q79" s="687"/>
    </row>
    <row r="80" spans="1:17">
      <c r="A80" s="950"/>
      <c r="B80" s="1020" t="s">
        <v>1365</v>
      </c>
      <c r="C80" s="915" t="s">
        <v>222</v>
      </c>
      <c r="D80" s="915" t="s">
        <v>1088</v>
      </c>
      <c r="E80" s="517" t="s">
        <v>875</v>
      </c>
      <c r="F80" s="800"/>
      <c r="G80" s="800"/>
      <c r="H80" s="800"/>
      <c r="I80" s="800"/>
      <c r="J80" s="800"/>
      <c r="K80" s="800"/>
      <c r="L80" s="800"/>
      <c r="M80" s="800"/>
      <c r="N80" s="800"/>
      <c r="O80" s="800"/>
      <c r="P80" s="800"/>
      <c r="Q80" s="800"/>
    </row>
    <row r="81" spans="1:17">
      <c r="A81" s="950"/>
      <c r="B81" s="1020" t="s">
        <v>1499</v>
      </c>
      <c r="C81" s="915" t="s">
        <v>222</v>
      </c>
      <c r="D81" s="915" t="s">
        <v>1088</v>
      </c>
      <c r="E81" s="517" t="s">
        <v>875</v>
      </c>
      <c r="F81" s="798"/>
      <c r="G81" s="798"/>
      <c r="H81" s="798"/>
      <c r="I81" s="798"/>
      <c r="J81" s="798"/>
      <c r="K81" s="798"/>
      <c r="L81" s="798"/>
      <c r="M81" s="798"/>
      <c r="N81" s="798"/>
      <c r="O81" s="798"/>
      <c r="P81" s="798"/>
      <c r="Q81" s="798"/>
    </row>
    <row r="82" spans="1:17">
      <c r="A82" s="950" t="s">
        <v>581</v>
      </c>
      <c r="B82" s="1020" t="s">
        <v>288</v>
      </c>
      <c r="C82" s="915" t="s">
        <v>405</v>
      </c>
      <c r="D82" s="915" t="s">
        <v>1088</v>
      </c>
      <c r="E82" s="517" t="s">
        <v>875</v>
      </c>
    </row>
    <row r="83" spans="1:17">
      <c r="A83" s="950"/>
      <c r="B83" s="1020" t="s">
        <v>401</v>
      </c>
      <c r="C83" s="915" t="s">
        <v>394</v>
      </c>
      <c r="D83" s="915" t="s">
        <v>1088</v>
      </c>
      <c r="E83" s="517" t="s">
        <v>875</v>
      </c>
    </row>
    <row r="84" spans="1:17">
      <c r="A84" s="950"/>
      <c r="B84" s="1020" t="s">
        <v>60</v>
      </c>
      <c r="C84" s="915" t="s">
        <v>450</v>
      </c>
      <c r="D84" s="915" t="s">
        <v>1088</v>
      </c>
      <c r="E84" s="517" t="s">
        <v>875</v>
      </c>
    </row>
    <row r="85" spans="1:17">
      <c r="A85" s="950"/>
      <c r="B85" s="1020" t="s">
        <v>1476</v>
      </c>
      <c r="C85" s="915" t="s">
        <v>147</v>
      </c>
      <c r="D85" s="915" t="s">
        <v>1088</v>
      </c>
      <c r="E85" s="517" t="s">
        <v>875</v>
      </c>
    </row>
    <row r="86" spans="1:17">
      <c r="A86" s="950"/>
      <c r="B86" s="1020" t="s">
        <v>285</v>
      </c>
      <c r="C86" s="915" t="s">
        <v>147</v>
      </c>
      <c r="D86" s="915" t="s">
        <v>1087</v>
      </c>
      <c r="E86" s="517" t="s">
        <v>875</v>
      </c>
    </row>
    <row r="87" spans="1:17">
      <c r="A87" s="950"/>
      <c r="B87" s="1020" t="s">
        <v>983</v>
      </c>
      <c r="C87" s="915" t="s">
        <v>147</v>
      </c>
      <c r="D87" s="915" t="s">
        <v>1088</v>
      </c>
      <c r="E87" s="517" t="s">
        <v>875</v>
      </c>
    </row>
    <row r="88" spans="1:17">
      <c r="A88" s="950"/>
      <c r="B88" s="1020" t="s">
        <v>976</v>
      </c>
      <c r="C88" s="915" t="s">
        <v>147</v>
      </c>
      <c r="D88" s="915" t="s">
        <v>1088</v>
      </c>
      <c r="E88" s="517" t="s">
        <v>1000</v>
      </c>
    </row>
    <row r="89" spans="1:17">
      <c r="A89" s="950"/>
      <c r="B89" s="1020" t="s">
        <v>950</v>
      </c>
      <c r="C89" s="915" t="s">
        <v>147</v>
      </c>
      <c r="D89" s="915" t="s">
        <v>1087</v>
      </c>
      <c r="E89" s="517" t="s">
        <v>875</v>
      </c>
    </row>
    <row r="90" spans="1:17">
      <c r="A90" s="950"/>
      <c r="B90" s="1020" t="s">
        <v>949</v>
      </c>
      <c r="C90" s="915" t="s">
        <v>147</v>
      </c>
      <c r="D90" s="915" t="s">
        <v>1087</v>
      </c>
      <c r="E90" s="517" t="s">
        <v>877</v>
      </c>
    </row>
    <row r="91" spans="1:17">
      <c r="A91" s="950"/>
      <c r="B91" s="1020" t="s">
        <v>1493</v>
      </c>
      <c r="C91" s="915" t="s">
        <v>235</v>
      </c>
      <c r="D91" s="915" t="s">
        <v>1088</v>
      </c>
      <c r="E91" s="517" t="s">
        <v>875</v>
      </c>
      <c r="F91" s="800"/>
      <c r="G91" s="800"/>
      <c r="H91" s="800"/>
      <c r="I91" s="800"/>
      <c r="J91" s="800"/>
      <c r="K91" s="800"/>
      <c r="L91" s="800"/>
      <c r="M91" s="800"/>
      <c r="N91" s="800"/>
      <c r="O91" s="800"/>
      <c r="P91" s="800"/>
      <c r="Q91" s="800"/>
    </row>
    <row r="92" spans="1:17">
      <c r="A92" s="950"/>
      <c r="B92" s="1020" t="s">
        <v>811</v>
      </c>
      <c r="C92" s="915" t="s">
        <v>235</v>
      </c>
      <c r="D92" s="915" t="s">
        <v>1088</v>
      </c>
      <c r="E92" s="517" t="s">
        <v>875</v>
      </c>
    </row>
    <row r="93" spans="1:17">
      <c r="A93" s="950"/>
      <c r="B93" s="1020" t="s">
        <v>1569</v>
      </c>
      <c r="C93" s="915" t="s">
        <v>239</v>
      </c>
      <c r="D93" s="915" t="s">
        <v>1087</v>
      </c>
      <c r="E93" s="517" t="s">
        <v>875</v>
      </c>
    </row>
    <row r="94" spans="1:17">
      <c r="A94" s="950"/>
      <c r="B94" s="1020" t="s">
        <v>952</v>
      </c>
      <c r="C94" s="915" t="s">
        <v>753</v>
      </c>
      <c r="D94" s="915" t="s">
        <v>1087</v>
      </c>
      <c r="E94" s="517" t="s">
        <v>875</v>
      </c>
    </row>
    <row r="95" spans="1:17">
      <c r="A95" s="950"/>
      <c r="B95" s="1020" t="s">
        <v>1483</v>
      </c>
      <c r="C95" s="915" t="s">
        <v>986</v>
      </c>
      <c r="D95" s="915" t="s">
        <v>1088</v>
      </c>
      <c r="E95" s="517" t="s">
        <v>875</v>
      </c>
    </row>
    <row r="96" spans="1:17">
      <c r="A96" s="1021"/>
      <c r="B96" s="1020" t="s">
        <v>1484</v>
      </c>
      <c r="C96" s="1020" t="s">
        <v>1485</v>
      </c>
      <c r="D96" s="1020" t="s">
        <v>1088</v>
      </c>
      <c r="E96" s="517">
        <v>100</v>
      </c>
      <c r="F96" s="1022"/>
      <c r="G96" s="1022"/>
      <c r="H96" s="1022"/>
      <c r="I96" s="1022"/>
      <c r="J96" s="1022"/>
      <c r="K96" s="1022"/>
      <c r="L96" s="1022"/>
      <c r="M96" s="1022"/>
      <c r="N96" s="1022"/>
      <c r="O96" s="1022"/>
      <c r="P96" s="1022"/>
      <c r="Q96" s="1022"/>
    </row>
    <row r="97" spans="1:17">
      <c r="A97" s="950"/>
      <c r="B97" s="1020" t="s">
        <v>59</v>
      </c>
      <c r="C97" s="915" t="s">
        <v>240</v>
      </c>
      <c r="D97" s="915" t="s">
        <v>1088</v>
      </c>
      <c r="E97" s="517" t="s">
        <v>875</v>
      </c>
    </row>
    <row r="98" spans="1:17">
      <c r="A98" s="950"/>
      <c r="B98" s="1020" t="s">
        <v>287</v>
      </c>
      <c r="C98" s="915" t="s">
        <v>392</v>
      </c>
      <c r="D98" s="915" t="s">
        <v>1088</v>
      </c>
      <c r="E98" s="517" t="s">
        <v>875</v>
      </c>
    </row>
    <row r="99" spans="1:17">
      <c r="A99" s="950"/>
      <c r="B99" s="1020" t="s">
        <v>1479</v>
      </c>
      <c r="C99" s="915" t="s">
        <v>987</v>
      </c>
      <c r="D99" s="915" t="s">
        <v>1088</v>
      </c>
      <c r="E99" s="517" t="s">
        <v>875</v>
      </c>
    </row>
    <row r="100" spans="1:17">
      <c r="A100" s="950"/>
      <c r="B100" s="1020" t="s">
        <v>1480</v>
      </c>
      <c r="C100" s="915" t="s">
        <v>451</v>
      </c>
      <c r="D100" s="915" t="s">
        <v>1088</v>
      </c>
      <c r="E100" s="517" t="s">
        <v>876</v>
      </c>
    </row>
    <row r="101" spans="1:17">
      <c r="A101" s="950"/>
      <c r="B101" s="1020" t="s">
        <v>1191</v>
      </c>
      <c r="C101" s="915" t="s">
        <v>234</v>
      </c>
      <c r="D101" s="915" t="s">
        <v>1088</v>
      </c>
      <c r="E101" s="517" t="s">
        <v>875</v>
      </c>
    </row>
    <row r="102" spans="1:17">
      <c r="A102" s="950"/>
      <c r="B102" s="1020" t="s">
        <v>951</v>
      </c>
      <c r="C102" s="915" t="s">
        <v>234</v>
      </c>
      <c r="D102" s="915" t="s">
        <v>1088</v>
      </c>
      <c r="E102" s="517" t="s">
        <v>875</v>
      </c>
    </row>
    <row r="103" spans="1:17">
      <c r="A103" s="950"/>
      <c r="B103" s="1020" t="s">
        <v>1378</v>
      </c>
      <c r="C103" s="915" t="s">
        <v>234</v>
      </c>
      <c r="D103" s="915" t="s">
        <v>1088</v>
      </c>
      <c r="E103" s="517" t="s">
        <v>875</v>
      </c>
      <c r="F103" s="800"/>
      <c r="G103" s="800"/>
      <c r="H103" s="800"/>
      <c r="I103" s="800"/>
      <c r="J103" s="800"/>
      <c r="K103" s="800"/>
      <c r="L103" s="800"/>
      <c r="M103" s="800"/>
      <c r="N103" s="800"/>
      <c r="O103" s="800"/>
      <c r="P103" s="800"/>
      <c r="Q103" s="800"/>
    </row>
    <row r="104" spans="1:17">
      <c r="A104" s="950"/>
      <c r="B104" s="1020" t="s">
        <v>1486</v>
      </c>
      <c r="C104" s="915" t="s">
        <v>236</v>
      </c>
      <c r="D104" s="915" t="s">
        <v>1088</v>
      </c>
      <c r="E104" s="517" t="s">
        <v>875</v>
      </c>
    </row>
    <row r="105" spans="1:17">
      <c r="A105" s="950"/>
      <c r="B105" s="1020" t="s">
        <v>1487</v>
      </c>
      <c r="C105" s="915" t="s">
        <v>227</v>
      </c>
      <c r="D105" s="915" t="s">
        <v>1088</v>
      </c>
      <c r="E105" s="517" t="s">
        <v>875</v>
      </c>
    </row>
    <row r="106" spans="1:17">
      <c r="A106" s="950"/>
      <c r="B106" s="1020" t="s">
        <v>286</v>
      </c>
      <c r="C106" s="915" t="s">
        <v>237</v>
      </c>
      <c r="D106" s="915" t="s">
        <v>1088</v>
      </c>
      <c r="E106" s="517" t="s">
        <v>875</v>
      </c>
    </row>
    <row r="107" spans="1:17">
      <c r="A107" s="950"/>
      <c r="B107" s="1020" t="s">
        <v>748</v>
      </c>
      <c r="C107" s="915" t="s">
        <v>220</v>
      </c>
      <c r="D107" s="915" t="s">
        <v>1088</v>
      </c>
      <c r="E107" s="517">
        <v>51</v>
      </c>
      <c r="F107" s="759"/>
      <c r="G107" s="759"/>
      <c r="H107" s="759"/>
      <c r="I107" s="759"/>
      <c r="J107" s="759"/>
      <c r="K107" s="759"/>
      <c r="L107" s="759"/>
      <c r="M107" s="759"/>
      <c r="N107" s="759"/>
      <c r="O107" s="759"/>
      <c r="P107" s="759"/>
      <c r="Q107" s="759"/>
    </row>
    <row r="108" spans="1:17">
      <c r="A108" s="950"/>
      <c r="B108" s="1020" t="s">
        <v>61</v>
      </c>
      <c r="C108" s="915" t="s">
        <v>452</v>
      </c>
      <c r="D108" s="915" t="s">
        <v>1088</v>
      </c>
      <c r="E108" s="517" t="s">
        <v>875</v>
      </c>
    </row>
    <row r="109" spans="1:17">
      <c r="A109" s="950"/>
      <c r="B109" s="1020" t="s">
        <v>999</v>
      </c>
      <c r="C109" s="915" t="s">
        <v>452</v>
      </c>
      <c r="D109" s="915" t="s">
        <v>1088</v>
      </c>
      <c r="E109" s="517" t="s">
        <v>875</v>
      </c>
    </row>
    <row r="110" spans="1:17">
      <c r="A110" s="950"/>
      <c r="B110" s="1020" t="s">
        <v>975</v>
      </c>
      <c r="C110" s="915" t="s">
        <v>452</v>
      </c>
      <c r="D110" s="915" t="s">
        <v>1088</v>
      </c>
      <c r="E110" s="517" t="s">
        <v>875</v>
      </c>
    </row>
    <row r="111" spans="1:17">
      <c r="A111" s="950"/>
      <c r="B111" s="1020" t="s">
        <v>80</v>
      </c>
      <c r="C111" s="915" t="s">
        <v>452</v>
      </c>
      <c r="D111" s="915" t="s">
        <v>1088</v>
      </c>
      <c r="E111" s="517" t="s">
        <v>875</v>
      </c>
    </row>
    <row r="112" spans="1:17">
      <c r="A112" s="950"/>
      <c r="B112" s="1020" t="s">
        <v>1498</v>
      </c>
      <c r="C112" s="915" t="s">
        <v>452</v>
      </c>
      <c r="D112" s="915" t="s">
        <v>1088</v>
      </c>
      <c r="E112" s="517" t="s">
        <v>875</v>
      </c>
      <c r="F112" s="800"/>
      <c r="G112" s="800"/>
      <c r="H112" s="800"/>
      <c r="I112" s="800"/>
      <c r="J112" s="800"/>
      <c r="K112" s="800"/>
      <c r="L112" s="800"/>
      <c r="M112" s="800"/>
      <c r="N112" s="800"/>
      <c r="O112" s="800"/>
      <c r="P112" s="800"/>
      <c r="Q112" s="800"/>
    </row>
    <row r="113" spans="1:17">
      <c r="A113" s="1021"/>
      <c r="B113" s="1020" t="s">
        <v>1489</v>
      </c>
      <c r="C113" s="1020" t="s">
        <v>1488</v>
      </c>
      <c r="D113" s="1020" t="s">
        <v>1088</v>
      </c>
      <c r="E113" s="517">
        <v>100</v>
      </c>
      <c r="F113" s="1022"/>
      <c r="G113" s="1022"/>
      <c r="H113" s="1022"/>
      <c r="I113" s="1022"/>
      <c r="J113" s="1022"/>
      <c r="K113" s="1022"/>
      <c r="L113" s="1022"/>
      <c r="M113" s="1022"/>
      <c r="N113" s="1022"/>
      <c r="O113" s="1022"/>
      <c r="P113" s="1022"/>
      <c r="Q113" s="1022"/>
    </row>
    <row r="114" spans="1:17">
      <c r="A114" s="950" t="s">
        <v>582</v>
      </c>
      <c r="B114" s="1020" t="s">
        <v>289</v>
      </c>
      <c r="C114" s="915" t="s">
        <v>238</v>
      </c>
      <c r="D114" s="915" t="s">
        <v>1088</v>
      </c>
      <c r="E114" s="517" t="s">
        <v>875</v>
      </c>
    </row>
    <row r="115" spans="1:17">
      <c r="A115" s="950"/>
      <c r="B115" s="1020" t="s">
        <v>1371</v>
      </c>
      <c r="C115" s="915" t="s">
        <v>1372</v>
      </c>
      <c r="D115" s="915" t="s">
        <v>1088</v>
      </c>
      <c r="E115" s="517" t="s">
        <v>875</v>
      </c>
      <c r="F115" s="800"/>
      <c r="G115" s="800"/>
      <c r="H115" s="800"/>
      <c r="I115" s="800"/>
      <c r="J115" s="800"/>
      <c r="K115" s="800"/>
      <c r="L115" s="800"/>
      <c r="M115" s="800"/>
      <c r="N115" s="800"/>
      <c r="O115" s="800"/>
      <c r="P115" s="800"/>
      <c r="Q115" s="800"/>
    </row>
    <row r="116" spans="1:17">
      <c r="A116" s="950"/>
      <c r="B116" s="1020" t="s">
        <v>402</v>
      </c>
      <c r="C116" s="915" t="s">
        <v>395</v>
      </c>
      <c r="D116" s="915" t="s">
        <v>1088</v>
      </c>
      <c r="E116" s="517" t="s">
        <v>875</v>
      </c>
    </row>
    <row r="117" spans="1:17">
      <c r="A117" s="950"/>
      <c r="B117" s="1020" t="s">
        <v>52</v>
      </c>
      <c r="C117" s="915" t="s">
        <v>221</v>
      </c>
      <c r="D117" s="915" t="s">
        <v>1088</v>
      </c>
      <c r="E117" s="517" t="s">
        <v>875</v>
      </c>
    </row>
    <row r="118" spans="1:17">
      <c r="A118" s="950"/>
      <c r="B118" s="1020" t="s">
        <v>1063</v>
      </c>
      <c r="C118" s="915" t="s">
        <v>1062</v>
      </c>
      <c r="D118" s="915" t="s">
        <v>1088</v>
      </c>
      <c r="E118" s="517" t="s">
        <v>875</v>
      </c>
    </row>
    <row r="119" spans="1:17">
      <c r="A119" s="950"/>
      <c r="B119" s="1020" t="s">
        <v>978</v>
      </c>
      <c r="C119" s="915" t="s">
        <v>989</v>
      </c>
      <c r="D119" s="915" t="s">
        <v>1088</v>
      </c>
      <c r="E119" s="517" t="s">
        <v>875</v>
      </c>
    </row>
    <row r="120" spans="1:17">
      <c r="A120" s="950"/>
      <c r="B120" s="1020" t="s">
        <v>1490</v>
      </c>
      <c r="C120" s="915" t="s">
        <v>454</v>
      </c>
      <c r="D120" s="915" t="s">
        <v>1088</v>
      </c>
      <c r="E120" s="517" t="s">
        <v>875</v>
      </c>
    </row>
    <row r="121" spans="1:17">
      <c r="A121" s="950"/>
      <c r="B121" s="1020" t="s">
        <v>1482</v>
      </c>
      <c r="C121" s="915" t="s">
        <v>1058</v>
      </c>
      <c r="D121" s="915" t="s">
        <v>1088</v>
      </c>
      <c r="E121" s="517" t="s">
        <v>875</v>
      </c>
      <c r="F121" s="800"/>
      <c r="G121" s="800"/>
      <c r="H121" s="800"/>
      <c r="I121" s="800"/>
      <c r="J121" s="800"/>
      <c r="K121" s="800"/>
      <c r="L121" s="800"/>
      <c r="M121" s="800"/>
      <c r="N121" s="800"/>
      <c r="O121" s="800"/>
      <c r="P121" s="800"/>
      <c r="Q121" s="800"/>
    </row>
    <row r="122" spans="1:17">
      <c r="A122" s="950"/>
      <c r="B122" s="1020" t="s">
        <v>1120</v>
      </c>
      <c r="C122" s="915" t="s">
        <v>991</v>
      </c>
      <c r="D122" s="915" t="s">
        <v>1088</v>
      </c>
      <c r="E122" s="517" t="s">
        <v>875</v>
      </c>
    </row>
    <row r="123" spans="1:17">
      <c r="A123" s="950"/>
      <c r="B123" s="1020" t="s">
        <v>1374</v>
      </c>
      <c r="C123" s="915" t="s">
        <v>1375</v>
      </c>
      <c r="D123" s="915" t="s">
        <v>1088</v>
      </c>
      <c r="E123" s="517" t="s">
        <v>875</v>
      </c>
      <c r="F123" s="800"/>
      <c r="G123" s="800"/>
      <c r="H123" s="800"/>
      <c r="I123" s="800"/>
      <c r="J123" s="800"/>
      <c r="K123" s="800"/>
      <c r="L123" s="800"/>
      <c r="M123" s="800"/>
      <c r="N123" s="800"/>
      <c r="O123" s="800"/>
      <c r="P123" s="800"/>
      <c r="Q123" s="800"/>
    </row>
    <row r="124" spans="1:17">
      <c r="A124" s="950"/>
      <c r="B124" s="1020" t="s">
        <v>72</v>
      </c>
      <c r="C124" s="915" t="s">
        <v>73</v>
      </c>
      <c r="D124" s="915" t="s">
        <v>1088</v>
      </c>
      <c r="E124" s="517" t="s">
        <v>875</v>
      </c>
    </row>
    <row r="125" spans="1:17">
      <c r="A125" s="950"/>
      <c r="B125" s="1020" t="s">
        <v>980</v>
      </c>
      <c r="C125" s="915" t="s">
        <v>988</v>
      </c>
      <c r="D125" s="915" t="s">
        <v>1088</v>
      </c>
      <c r="E125" s="517" t="s">
        <v>875</v>
      </c>
    </row>
    <row r="126" spans="1:17">
      <c r="A126" s="950"/>
      <c r="B126" s="1020" t="s">
        <v>74</v>
      </c>
      <c r="C126" s="915" t="s">
        <v>75</v>
      </c>
      <c r="D126" s="915" t="s">
        <v>1088</v>
      </c>
      <c r="E126" s="517" t="s">
        <v>875</v>
      </c>
    </row>
    <row r="127" spans="1:17">
      <c r="A127" s="950"/>
      <c r="B127" s="1020" t="s">
        <v>367</v>
      </c>
      <c r="C127" s="915" t="s">
        <v>393</v>
      </c>
      <c r="D127" s="915" t="s">
        <v>1088</v>
      </c>
      <c r="E127" s="517" t="s">
        <v>875</v>
      </c>
    </row>
    <row r="128" spans="1:17">
      <c r="A128" s="950"/>
      <c r="B128" s="1020" t="s">
        <v>62</v>
      </c>
      <c r="C128" s="915" t="s">
        <v>453</v>
      </c>
      <c r="D128" s="915" t="s">
        <v>1088</v>
      </c>
      <c r="E128" s="517" t="s">
        <v>875</v>
      </c>
    </row>
    <row r="129" spans="1:5">
      <c r="A129" s="950"/>
      <c r="B129" s="1020" t="s">
        <v>78</v>
      </c>
      <c r="C129" s="915" t="s">
        <v>79</v>
      </c>
      <c r="D129" s="915" t="s">
        <v>1088</v>
      </c>
      <c r="E129" s="517" t="s">
        <v>875</v>
      </c>
    </row>
    <row r="130" spans="1:5">
      <c r="A130" s="950"/>
      <c r="B130" s="1020" t="s">
        <v>77</v>
      </c>
      <c r="C130" s="915" t="s">
        <v>76</v>
      </c>
      <c r="D130" s="915" t="s">
        <v>1088</v>
      </c>
      <c r="E130" s="517" t="s">
        <v>875</v>
      </c>
    </row>
    <row r="131" spans="1:5">
      <c r="A131" s="387"/>
      <c r="C131" s="984"/>
      <c r="D131" s="226"/>
      <c r="E131" s="220"/>
    </row>
    <row r="132" spans="1:5" ht="56.25" customHeight="1">
      <c r="A132" s="1216" t="s">
        <v>1724</v>
      </c>
      <c r="B132" s="1437"/>
      <c r="C132" s="1437"/>
      <c r="D132" s="1437"/>
      <c r="E132" s="1216"/>
    </row>
  </sheetData>
  <mergeCells count="2">
    <mergeCell ref="A132:E132"/>
    <mergeCell ref="A1:E1"/>
  </mergeCells>
  <phoneticPr fontId="0" type="noConversion"/>
  <pageMargins left="0.75" right="0.75" top="1" bottom="1" header="0.5" footer="0.5"/>
  <pageSetup paperSize="9" scale="84" orientation="portrait" r:id="rId1"/>
  <headerFooter alignWithMargins="0"/>
  <rowBreaks count="1" manualBreakCount="1">
    <brk id="70" max="4" man="1"/>
  </rowBreaks>
  <customProperties>
    <customPr name="SheetOptions" r:id="rId2"/>
  </customProperties>
  <extLst>
    <ext xmlns:mx="http://schemas.microsoft.com/office/mac/excel/2008/main" uri="{64002731-A6B0-56B0-2670-7721B7C09600}">
      <mx:PLV Mode="0" OnePage="0" WScale="0"/>
    </ext>
  </extLs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1"/>
  <dimension ref="A1:AL367"/>
  <sheetViews>
    <sheetView workbookViewId="0">
      <pane ySplit="1" topLeftCell="A2" activePane="bottomLeft" state="frozen"/>
      <selection pane="bottomLeft" activeCell="A5" sqref="A5"/>
    </sheetView>
  </sheetViews>
  <sheetFormatPr defaultColWidth="8.6640625" defaultRowHeight="11.25"/>
  <cols>
    <col min="1" max="1" width="48.5" bestFit="1" customWidth="1"/>
    <col min="2" max="3" width="12.33203125" customWidth="1"/>
    <col min="4" max="4" width="10.1640625" bestFit="1" customWidth="1"/>
    <col min="5" max="5" width="12.6640625" customWidth="1"/>
    <col min="6" max="7" width="10.6640625" bestFit="1" customWidth="1"/>
    <col min="8" max="8" width="9.6640625" bestFit="1" customWidth="1"/>
    <col min="9" max="9" width="12.6640625" customWidth="1"/>
    <col min="10" max="10" width="9.1640625" customWidth="1"/>
    <col min="11" max="12" width="12.6640625" customWidth="1"/>
    <col min="13" max="15" width="10.6640625" customWidth="1"/>
  </cols>
  <sheetData>
    <row r="1" spans="1:15">
      <c r="A1" t="s">
        <v>721</v>
      </c>
      <c r="D1" s="83"/>
      <c r="E1" s="82">
        <v>1</v>
      </c>
      <c r="I1" s="167">
        <v>38807</v>
      </c>
      <c r="J1" s="164" t="s">
        <v>262</v>
      </c>
      <c r="K1" s="166" t="s">
        <v>260</v>
      </c>
      <c r="L1" s="166" t="s">
        <v>261</v>
      </c>
    </row>
    <row r="2" spans="1:15" ht="15.75">
      <c r="A2" s="198" t="str">
        <f>+IF($E$1=1,M3,IF($E$1=2,N3,O3))</f>
        <v>WÄRTSILÄ-KONSERNI, TILINTARKASTAMATON</v>
      </c>
      <c r="I2" s="167">
        <v>38717</v>
      </c>
      <c r="J2" s="164" t="s">
        <v>262</v>
      </c>
      <c r="K2" s="166" t="s">
        <v>776</v>
      </c>
      <c r="L2" s="166" t="s">
        <v>261</v>
      </c>
    </row>
    <row r="3" spans="1:15">
      <c r="A3" s="10"/>
      <c r="I3" s="191" t="s">
        <v>777</v>
      </c>
      <c r="J3" s="190"/>
      <c r="K3" s="190"/>
      <c r="M3" t="s">
        <v>559</v>
      </c>
      <c r="N3" t="s">
        <v>612</v>
      </c>
      <c r="O3" t="s">
        <v>611</v>
      </c>
    </row>
    <row r="4" spans="1:15">
      <c r="A4" s="52"/>
      <c r="B4" s="130"/>
      <c r="C4" s="130"/>
      <c r="D4" s="130"/>
      <c r="E4" s="130"/>
      <c r="F4" s="130"/>
      <c r="G4" s="130"/>
      <c r="H4" s="130"/>
      <c r="I4" s="130"/>
      <c r="J4" s="130"/>
      <c r="K4" s="130"/>
      <c r="L4" s="130"/>
      <c r="M4" s="47"/>
    </row>
    <row r="5" spans="1:15">
      <c r="A5" s="52"/>
      <c r="B5" s="130"/>
      <c r="C5" s="130"/>
      <c r="D5" s="130"/>
      <c r="E5" s="130"/>
      <c r="F5" s="130"/>
      <c r="G5" s="130"/>
      <c r="H5" s="130"/>
      <c r="I5" s="130"/>
      <c r="J5" s="130"/>
      <c r="K5" s="130"/>
      <c r="L5" s="130"/>
    </row>
    <row r="7" spans="1:15">
      <c r="A7" s="4"/>
    </row>
    <row r="8" spans="1:15">
      <c r="A8" s="10" t="str">
        <f t="shared" ref="A8:A20" si="0">+IF($E$1=1,M8,IF($E$1=2,N8,O8))</f>
        <v>LYHENNETTY TULOSLASKELMA</v>
      </c>
      <c r="F8" s="5"/>
      <c r="G8" s="15"/>
      <c r="H8" s="4"/>
      <c r="I8" s="4"/>
      <c r="J8" s="173" t="s">
        <v>772</v>
      </c>
      <c r="K8" s="174">
        <v>8160000</v>
      </c>
      <c r="L8" s="174"/>
      <c r="M8" s="10" t="s">
        <v>723</v>
      </c>
      <c r="N8" s="1" t="s">
        <v>724</v>
      </c>
      <c r="O8" s="10" t="s">
        <v>725</v>
      </c>
    </row>
    <row r="9" spans="1:15">
      <c r="A9" s="91" t="str">
        <f t="shared" si="0"/>
        <v>MEUR</v>
      </c>
      <c r="B9" s="131" t="s">
        <v>360</v>
      </c>
      <c r="C9" s="131" t="s">
        <v>360</v>
      </c>
      <c r="D9" s="131" t="s">
        <v>571</v>
      </c>
      <c r="E9" s="108">
        <v>2005</v>
      </c>
      <c r="F9" s="14"/>
      <c r="G9" s="15"/>
      <c r="H9" s="62"/>
      <c r="I9" s="4"/>
      <c r="J9" s="168"/>
      <c r="K9" s="173" t="s">
        <v>773</v>
      </c>
      <c r="L9" s="168"/>
      <c r="M9" s="6" t="s">
        <v>700</v>
      </c>
      <c r="N9" s="2" t="s">
        <v>700</v>
      </c>
      <c r="O9" s="6" t="s">
        <v>700</v>
      </c>
    </row>
    <row r="10" spans="1:15">
      <c r="A10" s="6" t="str">
        <f t="shared" si="0"/>
        <v>Liikevaihto</v>
      </c>
      <c r="B10" s="5" t="e">
        <f ca="1">_xll.HPVAL($J$1,$K$1,$K$10,$I$1,"m.ctd","wa")/1000</f>
        <v>#NAME?</v>
      </c>
      <c r="C10" s="5">
        <v>591.90800000000002</v>
      </c>
      <c r="D10" s="37">
        <v>1257.463</v>
      </c>
      <c r="E10" s="36">
        <v>2638.8139999999999</v>
      </c>
      <c r="F10" s="5"/>
      <c r="G10" s="61"/>
      <c r="H10" s="64"/>
      <c r="I10" s="4"/>
      <c r="J10" s="4"/>
      <c r="K10" s="4" t="s">
        <v>263</v>
      </c>
      <c r="L10" s="4"/>
      <c r="M10" s="6" t="s">
        <v>583</v>
      </c>
      <c r="N10" s="2" t="s">
        <v>501</v>
      </c>
      <c r="O10" s="6" t="s">
        <v>151</v>
      </c>
    </row>
    <row r="11" spans="1:15">
      <c r="A11" s="6" t="str">
        <f t="shared" si="0"/>
        <v>Muut tuotot</v>
      </c>
      <c r="B11" s="5" t="e">
        <f ca="1">_xll.HPVAL($J$1,$K$1,$K11,$I$1,"m.ctd","wa")/1000</f>
        <v>#NAME?</v>
      </c>
      <c r="C11" s="5">
        <v>2.4460000000000002</v>
      </c>
      <c r="D11" s="37">
        <v>11.686</v>
      </c>
      <c r="E11" s="36">
        <v>26.766999999999999</v>
      </c>
      <c r="F11" s="5"/>
      <c r="G11" s="11"/>
      <c r="H11" s="64"/>
      <c r="I11" s="4"/>
      <c r="J11" s="179">
        <v>4100000</v>
      </c>
      <c r="K11" s="4" t="s">
        <v>264</v>
      </c>
      <c r="L11" s="175" t="s">
        <v>266</v>
      </c>
      <c r="M11" s="6" t="s">
        <v>635</v>
      </c>
      <c r="N11" s="2" t="s">
        <v>634</v>
      </c>
      <c r="O11" s="6" t="s">
        <v>633</v>
      </c>
    </row>
    <row r="12" spans="1:15">
      <c r="A12" s="6" t="str">
        <f t="shared" si="0"/>
        <v>Kulut</v>
      </c>
      <c r="B12" s="5" t="e">
        <f ca="1">_xll.HPVAL($J$1,$K$1,$J11,$I$1,"m.ctd","wa")/1000+_xll.HPVAL($J$1,$K$1,$J12,$I$1,"m.ctd","wa")/1000+_xll.HPVAL($J$1,$K$1,$K12,$I$1,"m.ctd","wa")/1000+_xll.HPVAL($J$1,$K$1,$L11,$I$1,"m.ctd","wa")/1000+_xll.HPVAL($J$1,$K$1,$L12,$I$1,"m.ctd","wa")/1000</f>
        <v>#NAME?</v>
      </c>
      <c r="C12" s="5">
        <f>89.385+0.035-398.964-146.329-84.945</f>
        <v>-540.81799999999998</v>
      </c>
      <c r="D12" s="37">
        <v>-1139.1859999999999</v>
      </c>
      <c r="E12" s="36">
        <f>28.177+0.084-1522.5-540.016-335.452</f>
        <v>-2369.7070000000003</v>
      </c>
      <c r="F12" s="5"/>
      <c r="G12" s="11"/>
      <c r="H12" s="64"/>
      <c r="I12" s="4"/>
      <c r="J12" s="180">
        <v>4010000</v>
      </c>
      <c r="K12" s="176" t="s">
        <v>265</v>
      </c>
      <c r="L12" s="178" t="s">
        <v>267</v>
      </c>
      <c r="M12" s="6" t="s">
        <v>584</v>
      </c>
      <c r="N12" s="2" t="s">
        <v>643</v>
      </c>
      <c r="O12" s="6" t="s">
        <v>152</v>
      </c>
    </row>
    <row r="13" spans="1:15">
      <c r="A13" s="6" t="str">
        <f t="shared" si="0"/>
        <v>Poistot ja arvonalentumiset</v>
      </c>
      <c r="B13" s="5" t="e">
        <f ca="1">_xll.HPVAL($J$1,$K$1,$K13,$I$1,"m.ctd","wa")/1000</f>
        <v>#NAME?</v>
      </c>
      <c r="C13" s="5">
        <v>-17.616</v>
      </c>
      <c r="D13" s="37">
        <v>-35.191000000000003</v>
      </c>
      <c r="E13" s="36">
        <v>-71.552000000000007</v>
      </c>
      <c r="F13" s="5"/>
      <c r="G13" s="11"/>
      <c r="H13" s="64"/>
      <c r="I13" s="4"/>
      <c r="J13" s="4"/>
      <c r="K13" s="4" t="s">
        <v>268</v>
      </c>
      <c r="L13" s="4"/>
      <c r="M13" s="6" t="s">
        <v>593</v>
      </c>
      <c r="N13" s="2" t="s">
        <v>504</v>
      </c>
      <c r="O13" s="6" t="s">
        <v>594</v>
      </c>
    </row>
    <row r="14" spans="1:15">
      <c r="A14" s="6" t="str">
        <f t="shared" si="0"/>
        <v>Liiketulos</v>
      </c>
      <c r="B14" s="5" t="e">
        <f ca="1">SUM(B10:B13)</f>
        <v>#NAME?</v>
      </c>
      <c r="C14" s="5">
        <f>SUM(C10:C13)</f>
        <v>35.920000000000059</v>
      </c>
      <c r="D14" s="37">
        <f>SUM(D10:D13)</f>
        <v>94.771999999999963</v>
      </c>
      <c r="E14" s="36">
        <f>SUM(E10:E13)</f>
        <v>224.32199999999932</v>
      </c>
      <c r="F14" s="5"/>
      <c r="G14" s="5"/>
      <c r="H14" s="64"/>
      <c r="I14" s="4"/>
      <c r="J14" s="4"/>
      <c r="K14" s="4"/>
      <c r="L14" s="4"/>
      <c r="M14" s="6" t="s">
        <v>796</v>
      </c>
      <c r="N14" s="2" t="s">
        <v>191</v>
      </c>
      <c r="O14" s="6" t="s">
        <v>519</v>
      </c>
    </row>
    <row r="15" spans="1:15">
      <c r="A15" s="6" t="str">
        <f t="shared" si="0"/>
        <v>Rahoitustuotot ja -kulut</v>
      </c>
      <c r="B15" s="5" t="e">
        <f ca="1">_xll.HPVAL($J$1,$K$1,$K15,$I$1,"m.ctd","wa")/1000</f>
        <v>#NAME?</v>
      </c>
      <c r="C15" s="5">
        <v>-2.58</v>
      </c>
      <c r="D15" s="37">
        <v>-9.4480000000000004</v>
      </c>
      <c r="E15" s="36">
        <f>7.19-11.864-18.743</f>
        <v>-23.416999999999998</v>
      </c>
      <c r="F15" s="5"/>
      <c r="G15" s="11"/>
      <c r="H15" s="64"/>
      <c r="I15" s="4"/>
      <c r="J15" s="4"/>
      <c r="K15" s="4" t="s">
        <v>269</v>
      </c>
      <c r="L15" s="4"/>
      <c r="M15" s="6" t="s">
        <v>585</v>
      </c>
      <c r="N15" s="2" t="s">
        <v>187</v>
      </c>
      <c r="O15" s="6" t="s">
        <v>153</v>
      </c>
    </row>
    <row r="16" spans="1:15">
      <c r="A16" s="6" t="str">
        <f t="shared" si="0"/>
        <v>Nettovoitot myytävissä olevista sijoituksista</v>
      </c>
      <c r="B16" s="5" t="e">
        <f ca="1">_xll.HPVAL($J$1,$K$1,$K16,$I$1,"m.ctd","wa")/1000</f>
        <v>#NAME?</v>
      </c>
      <c r="C16" s="5"/>
      <c r="D16" s="37"/>
      <c r="E16" s="36">
        <v>0.54300000000000004</v>
      </c>
      <c r="F16" s="5"/>
      <c r="G16" s="11"/>
      <c r="H16" s="64"/>
      <c r="I16" s="4"/>
      <c r="J16" s="4"/>
      <c r="K16" s="17">
        <v>8410100</v>
      </c>
      <c r="L16" s="4"/>
      <c r="M16" s="6" t="s">
        <v>68</v>
      </c>
      <c r="N16" s="2" t="s">
        <v>697</v>
      </c>
      <c r="O16" s="6" t="s">
        <v>373</v>
      </c>
    </row>
    <row r="17" spans="1:15">
      <c r="A17" s="6" t="str">
        <f t="shared" si="0"/>
        <v>Osuus osakkuusyhtiöiden tuloksesta</v>
      </c>
      <c r="B17" s="5" t="e">
        <f ca="1">_xll.HPVAL($J$1,$K$1,$K17,$I$1,"m.ctd","wa")/1000</f>
        <v>#NAME?</v>
      </c>
      <c r="C17" s="5">
        <v>6.657</v>
      </c>
      <c r="D17" s="37">
        <v>7.1479999999999997</v>
      </c>
      <c r="E17" s="36">
        <v>10.91</v>
      </c>
      <c r="F17" s="5"/>
      <c r="G17" s="11"/>
      <c r="H17" s="64"/>
      <c r="I17" s="4"/>
      <c r="J17" s="4"/>
      <c r="K17" s="17">
        <v>8000000</v>
      </c>
      <c r="L17" s="4"/>
      <c r="M17" s="6" t="s">
        <v>722</v>
      </c>
      <c r="N17" s="2" t="s">
        <v>503</v>
      </c>
      <c r="O17" s="6" t="s">
        <v>156</v>
      </c>
    </row>
    <row r="18" spans="1:15">
      <c r="A18" s="6" t="str">
        <f t="shared" si="0"/>
        <v>Tulos ennen veroja</v>
      </c>
      <c r="B18" s="5" t="e">
        <f ca="1">SUM(B14:B17)</f>
        <v>#NAME?</v>
      </c>
      <c r="C18" s="5">
        <f>SUM(C14:C17)</f>
        <v>39.997000000000057</v>
      </c>
      <c r="D18" s="37">
        <f>SUM(D14:D17)</f>
        <v>92.471999999999952</v>
      </c>
      <c r="E18" s="36">
        <f>SUM(E14:E17)</f>
        <v>212.35799999999932</v>
      </c>
      <c r="F18" s="5"/>
      <c r="G18" s="5"/>
      <c r="H18" s="64"/>
      <c r="I18" s="4"/>
      <c r="J18" s="4"/>
      <c r="K18" s="4"/>
      <c r="L18" s="4"/>
      <c r="M18" s="6" t="s">
        <v>592</v>
      </c>
      <c r="N18" s="2" t="s">
        <v>636</v>
      </c>
      <c r="O18" s="6" t="s">
        <v>125</v>
      </c>
    </row>
    <row r="19" spans="1:15">
      <c r="A19" s="85" t="str">
        <f t="shared" si="0"/>
        <v>Tilikauden verot</v>
      </c>
      <c r="B19" s="5" t="e">
        <f ca="1">_xll.HPVAL($J$1,$K$1,$K19,$I$1,"m.ctd","wa")/1000</f>
        <v>#NAME?</v>
      </c>
      <c r="C19" s="55">
        <v>12.157</v>
      </c>
      <c r="D19" s="56">
        <v>-24.137</v>
      </c>
      <c r="E19" s="42">
        <v>-43.957000000000001</v>
      </c>
      <c r="F19" s="5"/>
      <c r="G19" s="11"/>
      <c r="H19" s="64"/>
      <c r="I19" s="4"/>
      <c r="J19" s="4"/>
      <c r="K19" s="4" t="s">
        <v>270</v>
      </c>
      <c r="L19" s="4"/>
      <c r="M19" s="6" t="s">
        <v>638</v>
      </c>
      <c r="N19" s="2" t="s">
        <v>637</v>
      </c>
      <c r="O19" s="6" t="s">
        <v>639</v>
      </c>
    </row>
    <row r="20" spans="1:15">
      <c r="A20" s="87" t="str">
        <f t="shared" si="0"/>
        <v>Tilikauden tulos</v>
      </c>
      <c r="B20" s="60" t="e">
        <f ca="1">SUM(B18:B19)</f>
        <v>#NAME?</v>
      </c>
      <c r="C20" s="60">
        <f>SUM(C18:C19)</f>
        <v>52.154000000000053</v>
      </c>
      <c r="D20" s="195">
        <f>SUM(D18:D19)</f>
        <v>68.334999999999951</v>
      </c>
      <c r="E20" s="43">
        <f>SUM(E18:E19)</f>
        <v>168.40099999999933</v>
      </c>
      <c r="F20" s="5"/>
      <c r="G20" s="11"/>
      <c r="H20" s="64"/>
      <c r="I20" s="4"/>
      <c r="J20" s="169" t="s">
        <v>765</v>
      </c>
      <c r="K20" s="172" t="e">
        <f ca="1">_xll.HPVAL($J$1,$K$1,$L20,$I$1,"m.ctd","wa")/1000-B20</f>
        <v>#NAME?</v>
      </c>
      <c r="L20" s="4" t="s">
        <v>771</v>
      </c>
      <c r="M20" s="6" t="s">
        <v>587</v>
      </c>
      <c r="N20" s="2" t="s">
        <v>487</v>
      </c>
      <c r="O20" s="6" t="s">
        <v>518</v>
      </c>
    </row>
    <row r="21" spans="1:15">
      <c r="A21" s="6"/>
      <c r="B21" s="5"/>
      <c r="C21" s="5"/>
      <c r="D21" s="5"/>
      <c r="E21" s="36"/>
      <c r="F21" s="5"/>
      <c r="G21" s="11"/>
      <c r="H21" s="64"/>
      <c r="I21" s="4"/>
      <c r="J21" s="4"/>
      <c r="K21" s="4"/>
      <c r="L21" s="4"/>
      <c r="M21" s="6"/>
      <c r="N21" s="2"/>
      <c r="O21" s="6"/>
    </row>
    <row r="22" spans="1:15">
      <c r="A22" s="6" t="str">
        <f>+IF($E$1=1,M22,IF($E$1=2,N22,O22))</f>
        <v>Jakautuminen:</v>
      </c>
      <c r="B22" s="5"/>
      <c r="C22" s="5"/>
      <c r="D22" s="5"/>
      <c r="E22" s="36"/>
      <c r="F22" s="5"/>
      <c r="G22" s="11"/>
      <c r="H22" s="64"/>
      <c r="I22" s="4"/>
      <c r="J22" s="4"/>
      <c r="K22" s="4"/>
      <c r="L22" s="4"/>
      <c r="M22" s="6" t="s">
        <v>13</v>
      </c>
      <c r="N22" s="2" t="s">
        <v>14</v>
      </c>
      <c r="O22" s="6" t="s">
        <v>15</v>
      </c>
    </row>
    <row r="23" spans="1:15">
      <c r="A23" s="6" t="str">
        <f>+IF($E$1=1,M23,IF($E$1=2,N23,O23))</f>
        <v>Emoyhtiön osakkeenomistajat</v>
      </c>
      <c r="B23" s="5" t="e">
        <f ca="1">B20-B24</f>
        <v>#NAME?</v>
      </c>
      <c r="C23" s="5">
        <v>52.17</v>
      </c>
      <c r="D23" s="5">
        <v>67.509</v>
      </c>
      <c r="E23" s="36">
        <f>+E20-E24</f>
        <v>166.98399999999933</v>
      </c>
      <c r="F23" s="5"/>
      <c r="G23" s="11"/>
      <c r="H23" s="64"/>
      <c r="I23" s="4"/>
      <c r="J23" s="4"/>
      <c r="K23" s="4"/>
      <c r="L23" s="4"/>
      <c r="M23" s="6" t="s">
        <v>136</v>
      </c>
      <c r="N23" s="2" t="s">
        <v>820</v>
      </c>
      <c r="O23" s="6" t="s">
        <v>16</v>
      </c>
    </row>
    <row r="24" spans="1:15">
      <c r="A24" s="85" t="str">
        <f>+IF($E$1=1,M24,IF($E$1=2,N24,O24))</f>
        <v>Vähemmistö</v>
      </c>
      <c r="B24" s="5" t="e">
        <f ca="1">-_xll.HPVAL($J$1,$K$1,$K24,$I$1,"m.ctd","wa")/1000</f>
        <v>#NAME?</v>
      </c>
      <c r="C24" s="55">
        <v>-1.7000000000000001E-2</v>
      </c>
      <c r="D24" s="55">
        <v>0.82499999999999996</v>
      </c>
      <c r="E24" s="42">
        <v>1.417</v>
      </c>
      <c r="F24" s="5"/>
      <c r="G24" s="11"/>
      <c r="H24" s="64"/>
      <c r="I24" s="4"/>
      <c r="J24" s="4"/>
      <c r="K24" s="17">
        <v>8880000</v>
      </c>
      <c r="L24" s="4"/>
      <c r="M24" s="6" t="s">
        <v>137</v>
      </c>
      <c r="N24" s="2" t="s">
        <v>567</v>
      </c>
      <c r="O24" s="6" t="s">
        <v>17</v>
      </c>
    </row>
    <row r="25" spans="1:15">
      <c r="A25" s="120"/>
      <c r="B25" s="139" t="e">
        <f ca="1">SUM(B23:B24)</f>
        <v>#NAME?</v>
      </c>
      <c r="C25" s="139">
        <f>SUM(C23:C24)</f>
        <v>52.152999999999999</v>
      </c>
      <c r="D25" s="139">
        <f>SUM(D23:D24)</f>
        <v>68.334000000000003</v>
      </c>
      <c r="E25" s="134">
        <f>SUM(E23:E24)</f>
        <v>168.40099999999933</v>
      </c>
      <c r="F25" s="5"/>
      <c r="G25" s="5"/>
      <c r="H25" s="64"/>
      <c r="I25" s="4"/>
      <c r="J25" s="4"/>
      <c r="K25" s="4"/>
      <c r="L25" s="4"/>
      <c r="M25" s="6"/>
      <c r="N25" s="2"/>
      <c r="O25" s="6"/>
    </row>
    <row r="26" spans="1:15">
      <c r="A26" s="39"/>
      <c r="B26" s="39"/>
      <c r="C26" s="39"/>
      <c r="D26" s="39"/>
      <c r="E26" s="50"/>
      <c r="F26" s="5"/>
      <c r="G26" s="5"/>
      <c r="H26" s="63"/>
      <c r="I26" s="4"/>
      <c r="J26" s="4"/>
      <c r="K26" s="4"/>
      <c r="L26" s="4"/>
      <c r="M26" s="6"/>
      <c r="N26" s="2"/>
      <c r="O26" s="6"/>
    </row>
    <row r="27" spans="1:15">
      <c r="A27" s="85" t="str">
        <f>+IF($E$1=1,M27,IF($E$1=2,N27,O27))</f>
        <v>Emoyhtiön osakkeenomistajille kuuluva osakekohtainen tulos:</v>
      </c>
      <c r="B27" s="88"/>
      <c r="C27" s="88"/>
      <c r="D27" s="85"/>
      <c r="E27" s="88"/>
      <c r="F27" s="5"/>
      <c r="G27" s="5"/>
      <c r="H27" s="63"/>
      <c r="I27" s="4"/>
      <c r="J27" s="4"/>
      <c r="K27" s="4"/>
      <c r="L27" s="4"/>
      <c r="M27" s="6" t="s">
        <v>807</v>
      </c>
      <c r="N27" s="2" t="s">
        <v>806</v>
      </c>
      <c r="O27" s="6" t="s">
        <v>709</v>
      </c>
    </row>
    <row r="28" spans="1:15">
      <c r="A28" s="6" t="str">
        <f>+IF($E$1=1,M28,IF($E$1=2,N28,O28))</f>
        <v>Tulos/osake, EUR</v>
      </c>
      <c r="B28" s="6"/>
      <c r="C28" s="6">
        <f>+C23/94.107468</f>
        <v>0.55436620609110432</v>
      </c>
      <c r="D28" s="6">
        <v>0.72909999999999997</v>
      </c>
      <c r="E28" s="65">
        <v>1.8</v>
      </c>
      <c r="F28" s="6"/>
      <c r="G28" s="6"/>
      <c r="H28" s="63"/>
      <c r="I28" s="4"/>
      <c r="J28" s="4"/>
      <c r="K28" s="4"/>
      <c r="L28" s="4"/>
      <c r="M28" s="6" t="s">
        <v>322</v>
      </c>
      <c r="N28" s="2" t="s">
        <v>279</v>
      </c>
      <c r="O28" s="6" t="s">
        <v>186</v>
      </c>
    </row>
    <row r="29" spans="1:15">
      <c r="A29" s="85" t="str">
        <f>+IF($E$1=1,M29,IF($E$1=2,N29,O29))</f>
        <v>Laimennettu tulos/osake, EUR</v>
      </c>
      <c r="B29" s="89"/>
      <c r="C29" s="89">
        <v>0.55000000000000004</v>
      </c>
      <c r="D29" s="85">
        <v>0.72</v>
      </c>
      <c r="E29" s="90">
        <v>1.78</v>
      </c>
      <c r="F29" s="6"/>
      <c r="G29" s="5"/>
      <c r="H29" s="63"/>
      <c r="I29" s="4"/>
      <c r="J29" s="4"/>
      <c r="K29" s="4"/>
      <c r="L29" s="4"/>
      <c r="M29" s="4" t="s">
        <v>323</v>
      </c>
      <c r="N29" s="4" t="s">
        <v>509</v>
      </c>
      <c r="O29" s="4" t="s">
        <v>573</v>
      </c>
    </row>
    <row r="32" spans="1:15">
      <c r="A32" s="4"/>
      <c r="B32" s="4"/>
      <c r="C32" s="4"/>
      <c r="F32" s="5"/>
      <c r="G32" s="15"/>
      <c r="H32" s="4"/>
      <c r="I32" s="4"/>
      <c r="J32" s="4"/>
      <c r="K32" s="4"/>
      <c r="L32" s="4"/>
      <c r="M32" s="4"/>
      <c r="N32" s="4"/>
      <c r="O32" s="4"/>
    </row>
    <row r="33" spans="1:15">
      <c r="A33" s="10" t="str">
        <f t="shared" ref="A33:A41" si="1">+IF($E$1=1,M33,IF($E$1=2,N33,O33))</f>
        <v>LYHENNETTY TASE</v>
      </c>
      <c r="B33" s="10"/>
      <c r="C33" s="10"/>
      <c r="F33" s="14"/>
      <c r="G33" s="15"/>
      <c r="H33" s="14"/>
      <c r="I33" s="4"/>
      <c r="J33" s="4"/>
      <c r="K33" s="4"/>
      <c r="L33" s="4"/>
      <c r="M33" s="10" t="s">
        <v>726</v>
      </c>
      <c r="N33" s="1" t="s">
        <v>727</v>
      </c>
      <c r="O33" s="10" t="s">
        <v>728</v>
      </c>
    </row>
    <row r="34" spans="1:15">
      <c r="A34" s="91" t="str">
        <f t="shared" si="1"/>
        <v>MEUR</v>
      </c>
      <c r="B34" s="132" t="s">
        <v>128</v>
      </c>
      <c r="C34" s="132" t="s">
        <v>128</v>
      </c>
      <c r="D34" s="132" t="s">
        <v>244</v>
      </c>
      <c r="E34" s="128" t="s">
        <v>245</v>
      </c>
      <c r="F34" s="13"/>
      <c r="G34" s="15"/>
      <c r="H34" s="66"/>
      <c r="I34" s="4"/>
      <c r="J34" s="4"/>
      <c r="K34" s="4"/>
      <c r="L34" s="4"/>
      <c r="M34" s="6" t="s">
        <v>700</v>
      </c>
      <c r="N34" s="2" t="s">
        <v>700</v>
      </c>
      <c r="O34" s="6" t="s">
        <v>700</v>
      </c>
    </row>
    <row r="35" spans="1:15">
      <c r="A35" s="10" t="str">
        <f t="shared" si="1"/>
        <v>Pitkäaikaiset varat</v>
      </c>
      <c r="B35" s="10"/>
      <c r="C35" s="10"/>
      <c r="D35" s="10"/>
      <c r="F35" s="13"/>
      <c r="G35" s="15"/>
      <c r="H35" s="67"/>
      <c r="I35" s="4"/>
      <c r="J35" s="4"/>
      <c r="K35" s="4"/>
      <c r="L35" s="4"/>
      <c r="M35" s="10" t="s">
        <v>18</v>
      </c>
      <c r="N35" s="2" t="s">
        <v>19</v>
      </c>
      <c r="O35" s="6" t="s">
        <v>398</v>
      </c>
    </row>
    <row r="36" spans="1:15">
      <c r="A36" s="6" t="str">
        <f t="shared" si="1"/>
        <v>Aineeton käyttöomaisuus</v>
      </c>
      <c r="B36" s="5" t="e">
        <f ca="1">_xll.HPVAL($J$1,$K$1,$K36,$I$1,"m.ctd","wa")/1000+_xll.HPVAL($J$1,$K$1,$L36,$I$1,"m.ctd","wa")/1000</f>
        <v>#NAME?</v>
      </c>
      <c r="C36" s="5">
        <f>376.554+178.256</f>
        <v>554.80999999999995</v>
      </c>
      <c r="D36" s="5">
        <v>544.88699999999994</v>
      </c>
      <c r="E36" s="36">
        <f>175.424+365.71</f>
        <v>541.13400000000001</v>
      </c>
      <c r="F36" s="19"/>
      <c r="G36" s="20"/>
      <c r="H36" s="68"/>
      <c r="I36" s="4"/>
      <c r="J36" s="4"/>
      <c r="K36" s="4" t="s">
        <v>544</v>
      </c>
      <c r="L36" s="4" t="s">
        <v>545</v>
      </c>
      <c r="M36" s="6" t="s">
        <v>613</v>
      </c>
      <c r="N36" s="2" t="s">
        <v>522</v>
      </c>
      <c r="O36" s="6" t="s">
        <v>525</v>
      </c>
    </row>
    <row r="37" spans="1:15">
      <c r="A37" s="6" t="str">
        <f t="shared" si="1"/>
        <v>Aineellinen käyttöomaisuus</v>
      </c>
      <c r="B37" s="5" t="e">
        <f ca="1">_xll.HPVAL($J$1,$K$1,$K37,$I$1,"m.ctd","wa")/1000</f>
        <v>#NAME?</v>
      </c>
      <c r="C37" s="5">
        <v>287.28899999999999</v>
      </c>
      <c r="D37" s="5">
        <v>281.41500000000002</v>
      </c>
      <c r="E37" s="36">
        <f>255.697+17.2</f>
        <v>272.89699999999999</v>
      </c>
      <c r="F37" s="5"/>
      <c r="G37" s="8"/>
      <c r="H37" s="68"/>
      <c r="I37" s="4"/>
      <c r="J37" s="4"/>
      <c r="K37" s="4" t="s">
        <v>408</v>
      </c>
      <c r="L37" s="4"/>
      <c r="M37" s="6" t="s">
        <v>178</v>
      </c>
      <c r="N37" s="2" t="s">
        <v>179</v>
      </c>
      <c r="O37" s="6" t="s">
        <v>526</v>
      </c>
    </row>
    <row r="38" spans="1:15">
      <c r="A38" s="6" t="str">
        <f t="shared" si="1"/>
        <v>Osuudet osakkuusyrityksissä</v>
      </c>
      <c r="B38" s="5" t="e">
        <f ca="1">_xll.HPVAL($J$1,$K$1,$K38,$I$1,"m.ctd","wa")/1000</f>
        <v>#NAME?</v>
      </c>
      <c r="C38" s="5">
        <v>115.714</v>
      </c>
      <c r="D38" s="5">
        <v>104.29300000000001</v>
      </c>
      <c r="E38" s="36">
        <v>108.452</v>
      </c>
      <c r="F38" s="16"/>
      <c r="G38" s="8"/>
      <c r="H38" s="68"/>
      <c r="I38" s="4"/>
      <c r="J38" s="4"/>
      <c r="K38" s="17">
        <v>1200200</v>
      </c>
      <c r="L38" s="4"/>
      <c r="M38" s="6" t="s">
        <v>531</v>
      </c>
      <c r="N38" s="2" t="s">
        <v>180</v>
      </c>
      <c r="O38" s="6" t="s">
        <v>181</v>
      </c>
    </row>
    <row r="39" spans="1:15">
      <c r="A39" s="6" t="str">
        <f t="shared" si="1"/>
        <v>Myytävissä olevat sijoitukset</v>
      </c>
      <c r="B39" s="5" t="e">
        <f ca="1">_xll.HPVAL($J$1,$K$1,$K39,$I$1,"m.ctd","wa")/1000+_xll.HPVAL($J$1,$K$1,$L39,$I$1,"m.ctd","wa")/1000</f>
        <v>#NAME?</v>
      </c>
      <c r="C39" s="5">
        <f>20.89+302.473</f>
        <v>323.363</v>
      </c>
      <c r="D39" s="5">
        <f>339.517-D38</f>
        <v>235.22399999999999</v>
      </c>
      <c r="E39" s="36">
        <f>284.354+0.01</f>
        <v>284.36399999999998</v>
      </c>
      <c r="F39" s="5"/>
      <c r="G39" s="8"/>
      <c r="H39" s="68"/>
      <c r="I39" s="4"/>
      <c r="J39" s="4"/>
      <c r="K39" s="17">
        <v>1200300</v>
      </c>
      <c r="L39" s="17">
        <v>1200400</v>
      </c>
      <c r="M39" s="6" t="s">
        <v>536</v>
      </c>
      <c r="N39" s="2" t="s">
        <v>324</v>
      </c>
      <c r="O39" s="6" t="s">
        <v>20</v>
      </c>
    </row>
    <row r="40" spans="1:15">
      <c r="A40" s="6" t="str">
        <f t="shared" si="1"/>
        <v>Laskennalliset verosaamiset</v>
      </c>
      <c r="B40" s="5" t="e">
        <f ca="1">_xll.HPVAL($J$1,$K$1,$K40,$I$1,"m.ctd","wa")/1000+_xll.HPVAL($J$1,$K$1,$L40,$I$1,"m.ctd","wa")/1000</f>
        <v>#NAME?</v>
      </c>
      <c r="C40" s="5">
        <f>78.361+10.015+8.537</f>
        <v>96.913000000000011</v>
      </c>
      <c r="D40" s="5">
        <f>51.749+12.983+14.284+1.289</f>
        <v>80.305000000000007</v>
      </c>
      <c r="E40" s="36">
        <f>77.65-0.01</f>
        <v>77.64</v>
      </c>
      <c r="F40" s="5"/>
      <c r="G40" s="8"/>
      <c r="H40" s="68"/>
      <c r="I40" s="4"/>
      <c r="J40" s="4"/>
      <c r="K40" s="4" t="s">
        <v>756</v>
      </c>
      <c r="L40" s="4" t="s">
        <v>409</v>
      </c>
      <c r="M40" s="6" t="s">
        <v>729</v>
      </c>
      <c r="N40" s="2" t="s">
        <v>730</v>
      </c>
      <c r="O40" s="6" t="s">
        <v>731</v>
      </c>
    </row>
    <row r="41" spans="1:15">
      <c r="A41" s="85" t="str">
        <f t="shared" si="1"/>
        <v>Muut varat</v>
      </c>
      <c r="B41" s="55" t="e">
        <f ca="1">_xll.HPVAL($J$1,$K$1,$J41,$I$1,"m.ctd","wa")/1000+_xll.HPVAL($J$1,$K$1,$K41,$I$1,"m.ctd","wa")/1000-_xll.HPVAL($J$1,$K$1,$L41,$I$1,"m.ctd","wa")/1000-_xll.HPVAL($J$1,$K$1,$L42,$I$1,"m.ctd","wa")/1000</f>
        <v>#NAME?</v>
      </c>
      <c r="C41" s="55">
        <f>24.495+93.511-78.361-10.015</f>
        <v>29.629999999999995</v>
      </c>
      <c r="D41" s="55">
        <f>1262.647-SUM(D36:D40)</f>
        <v>16.522999999999911</v>
      </c>
      <c r="E41" s="42">
        <f>27.199+4.156</f>
        <v>31.355</v>
      </c>
      <c r="F41" s="5"/>
      <c r="G41" s="8"/>
      <c r="H41" s="68"/>
      <c r="I41" s="4"/>
      <c r="J41" s="181" t="s">
        <v>758</v>
      </c>
      <c r="K41" s="176" t="s">
        <v>759</v>
      </c>
      <c r="L41" s="182">
        <v>1480000</v>
      </c>
      <c r="M41" s="6" t="s">
        <v>711</v>
      </c>
      <c r="N41" s="2" t="s">
        <v>524</v>
      </c>
      <c r="O41" s="6" t="s">
        <v>712</v>
      </c>
    </row>
    <row r="42" spans="1:15">
      <c r="A42" s="6"/>
      <c r="B42" s="37" t="e">
        <f ca="1">SUM(B36:B41)</f>
        <v>#NAME?</v>
      </c>
      <c r="C42" s="37">
        <f>SUM(C36:C41)</f>
        <v>1407.7190000000001</v>
      </c>
      <c r="D42" s="37">
        <f>SUM(D36:D41)</f>
        <v>1262.6469999999999</v>
      </c>
      <c r="E42" s="36">
        <f>SUM(E36:E41)</f>
        <v>1315.8420000000001</v>
      </c>
      <c r="F42" s="5"/>
      <c r="G42" s="8"/>
      <c r="H42" s="68"/>
      <c r="I42" s="4"/>
      <c r="J42" s="4"/>
      <c r="K42" s="4"/>
      <c r="L42" s="183">
        <v>1480100</v>
      </c>
      <c r="M42" s="6"/>
      <c r="N42" s="2"/>
      <c r="O42" s="6"/>
    </row>
    <row r="43" spans="1:15">
      <c r="A43" s="10" t="str">
        <f>+IF($E$1=1,M43,IF($E$1=2,N43,O43))</f>
        <v>Lyhytaikaiset varat</v>
      </c>
      <c r="B43" s="5"/>
      <c r="C43" s="5"/>
      <c r="D43" s="5"/>
      <c r="E43" s="36"/>
      <c r="F43" s="5"/>
      <c r="G43" s="8"/>
      <c r="H43" s="68"/>
      <c r="I43" s="4"/>
      <c r="J43" s="4"/>
      <c r="K43" s="4"/>
      <c r="L43" s="4"/>
      <c r="M43" s="6" t="s">
        <v>21</v>
      </c>
      <c r="N43" s="2" t="s">
        <v>22</v>
      </c>
      <c r="O43" s="6" t="s">
        <v>126</v>
      </c>
    </row>
    <row r="44" spans="1:15">
      <c r="A44" s="6" t="str">
        <f>+IF($E$1=1,M44,IF($E$1=2,N44,O44))</f>
        <v>Vaihto-omaisuus</v>
      </c>
      <c r="B44" s="5" t="e">
        <f ca="1">_xll.HPVAL($J$1,$K$1,$K44,$I$1,"m.ctd","wa")/1000</f>
        <v>#NAME?</v>
      </c>
      <c r="C44" s="5">
        <v>764.12</v>
      </c>
      <c r="D44" s="5">
        <v>597.28599999999994</v>
      </c>
      <c r="E44" s="36">
        <v>638.57299999999998</v>
      </c>
      <c r="F44" s="5"/>
      <c r="G44" s="8"/>
      <c r="H44" s="68"/>
      <c r="I44" s="4"/>
      <c r="J44" s="4"/>
      <c r="K44" s="17" t="s">
        <v>760</v>
      </c>
      <c r="L44" s="4"/>
      <c r="M44" s="6" t="s">
        <v>521</v>
      </c>
      <c r="N44" s="2" t="s">
        <v>523</v>
      </c>
      <c r="O44" s="6" t="s">
        <v>532</v>
      </c>
    </row>
    <row r="45" spans="1:15">
      <c r="A45" s="6" t="str">
        <f>+IF($E$1=1,M45,IF($E$1=2,N45,O45))</f>
        <v>Muut  varat</v>
      </c>
      <c r="B45" s="5" t="e">
        <f ca="1">_xll.HPVAL($J$1,$K$1,$J45,$I$1,"m.ctd","wa")/1000+_xll.HPVAL($J$1,$K$1,$K45,$I$1,"m.ctd","wa")/1000-_xll.HPVAL($J$1,$K$1,$L45,$I$1,"m.ctd","wa")/1000-_xll.HPVAL($J$1,$K$1,$J46,$I$1,"m.ctd","wa")/1000</f>
        <v>#NAME?</v>
      </c>
      <c r="C45" s="5">
        <f>1702.772-8.537-94.66-20.178-C44</f>
        <v>815.2769999999997</v>
      </c>
      <c r="D45" s="5">
        <v>781.55899999999997</v>
      </c>
      <c r="E45" s="36">
        <f>0.903+670.176+16.056+107.423</f>
        <v>794.55800000000011</v>
      </c>
      <c r="F45" s="5"/>
      <c r="G45" s="8"/>
      <c r="H45" s="68"/>
      <c r="I45" s="4"/>
      <c r="J45" s="184" t="s">
        <v>764</v>
      </c>
      <c r="K45" s="176" t="s">
        <v>763</v>
      </c>
      <c r="L45" s="185">
        <v>1580000</v>
      </c>
      <c r="M45" s="6" t="s">
        <v>710</v>
      </c>
      <c r="N45" s="2" t="s">
        <v>524</v>
      </c>
      <c r="O45" s="6" t="s">
        <v>712</v>
      </c>
    </row>
    <row r="46" spans="1:15">
      <c r="A46" s="85" t="str">
        <f>+IF($E$1=1,M46,IF($E$1=2,N46,O46))</f>
        <v>Rahavarat</v>
      </c>
      <c r="B46" s="55" t="e">
        <f ca="1">_xll.HPVAL($J$1,$K$1,$K46,$I$1,"m.ctd","wa")/1000+_xll.HPVAL($J$1,$K$1,$L46,$I$1,"m.ctd","wa")/1000</f>
        <v>#NAME?</v>
      </c>
      <c r="C46" s="55">
        <f>20.178+94.66</f>
        <v>114.83799999999999</v>
      </c>
      <c r="D46" s="55">
        <v>119.601</v>
      </c>
      <c r="E46" s="42">
        <v>119.649</v>
      </c>
      <c r="F46" s="40"/>
      <c r="G46" s="11"/>
      <c r="H46" s="68"/>
      <c r="I46" s="4"/>
      <c r="J46" s="177">
        <v>1580100</v>
      </c>
      <c r="K46" s="4" t="s">
        <v>761</v>
      </c>
      <c r="L46" s="28" t="s">
        <v>762</v>
      </c>
      <c r="M46" s="9" t="s">
        <v>527</v>
      </c>
      <c r="N46" s="7" t="s">
        <v>528</v>
      </c>
      <c r="O46" s="9" t="s">
        <v>529</v>
      </c>
    </row>
    <row r="47" spans="1:15">
      <c r="A47" s="39"/>
      <c r="B47" s="84" t="e">
        <f ca="1">SUM(B44:B46)</f>
        <v>#NAME?</v>
      </c>
      <c r="C47" s="84">
        <f>SUM(C44:C46)</f>
        <v>1694.2349999999997</v>
      </c>
      <c r="D47" s="84">
        <f>SUM(D44:D46)</f>
        <v>1498.4459999999999</v>
      </c>
      <c r="E47" s="36">
        <f>SUM(E44:E46)</f>
        <v>1552.7800000000002</v>
      </c>
      <c r="F47" s="40"/>
      <c r="G47" s="11"/>
      <c r="H47" s="68"/>
      <c r="I47" s="4"/>
      <c r="J47" s="4"/>
      <c r="K47" s="4"/>
      <c r="L47" s="4"/>
      <c r="M47" s="39"/>
      <c r="N47" s="41"/>
      <c r="O47" s="39"/>
    </row>
    <row r="48" spans="1:15">
      <c r="A48" s="85"/>
      <c r="B48" s="84"/>
      <c r="C48" s="84"/>
      <c r="D48" s="84"/>
      <c r="E48" s="36"/>
      <c r="F48" s="40"/>
      <c r="G48" s="11"/>
      <c r="H48" s="68"/>
      <c r="I48" s="4"/>
      <c r="J48" s="4"/>
      <c r="K48" s="4"/>
      <c r="L48" s="4"/>
      <c r="M48" s="39"/>
      <c r="N48" s="41"/>
      <c r="O48" s="39"/>
    </row>
    <row r="49" spans="1:15">
      <c r="A49" s="86" t="str">
        <f>+IF($E$1=1,M49,IF($E$1=2,N49,O49))</f>
        <v>Vastaavaa</v>
      </c>
      <c r="B49" s="43" t="e">
        <f ca="1">+B47+B42</f>
        <v>#NAME?</v>
      </c>
      <c r="C49" s="43">
        <f>+C47+C42</f>
        <v>3101.9539999999997</v>
      </c>
      <c r="D49" s="43">
        <f>+D47+D42</f>
        <v>2761.0929999999998</v>
      </c>
      <c r="E49" s="43">
        <f>+E47+E42</f>
        <v>2868.6220000000003</v>
      </c>
      <c r="F49" s="5"/>
      <c r="G49" s="8"/>
      <c r="H49" s="69"/>
      <c r="I49" s="4"/>
      <c r="J49" s="169" t="s">
        <v>765</v>
      </c>
      <c r="K49" s="172" t="e">
        <f ca="1">_xll.HPVAL($J$1,$K$1,$L49,$I$1,"m.ctd","wa")/1000-B49</f>
        <v>#NAME?</v>
      </c>
      <c r="L49" s="4" t="s">
        <v>757</v>
      </c>
      <c r="M49" s="6" t="s">
        <v>130</v>
      </c>
      <c r="N49" s="2" t="s">
        <v>534</v>
      </c>
      <c r="O49" s="6" t="s">
        <v>687</v>
      </c>
    </row>
    <row r="50" spans="1:15">
      <c r="A50" s="10"/>
      <c r="B50" s="80"/>
      <c r="C50" s="80"/>
      <c r="D50" s="80"/>
      <c r="E50" s="80"/>
      <c r="F50" s="5"/>
      <c r="G50" s="8"/>
      <c r="H50" s="69"/>
      <c r="I50" s="4"/>
      <c r="J50" s="4"/>
      <c r="K50" s="4"/>
      <c r="L50" s="4"/>
      <c r="M50" s="6"/>
      <c r="N50" s="2"/>
      <c r="O50" s="6"/>
    </row>
    <row r="51" spans="1:15">
      <c r="A51" s="10"/>
      <c r="B51" s="80"/>
      <c r="C51" s="80"/>
      <c r="D51" s="80"/>
      <c r="E51" s="80"/>
      <c r="F51" s="5"/>
      <c r="G51" s="8"/>
      <c r="H51" s="69"/>
      <c r="I51" s="4"/>
      <c r="J51" s="4"/>
      <c r="K51" s="4"/>
      <c r="L51" s="4"/>
      <c r="M51" s="6"/>
      <c r="N51" s="2"/>
      <c r="O51" s="6"/>
    </row>
    <row r="52" spans="1:15">
      <c r="A52" s="10" t="str">
        <f>+IF($E$1=1,M52,IF($E$1=2,N52,O52))</f>
        <v>Oma pääoma</v>
      </c>
      <c r="B52" s="10"/>
      <c r="C52" s="10"/>
      <c r="D52" s="10"/>
      <c r="E52" s="36"/>
      <c r="F52" s="8"/>
      <c r="G52" s="8"/>
      <c r="H52" s="70"/>
      <c r="I52" s="4"/>
      <c r="J52" s="4"/>
      <c r="K52" s="4"/>
      <c r="L52" s="4"/>
      <c r="M52" s="6" t="s">
        <v>23</v>
      </c>
      <c r="N52" s="2" t="s">
        <v>24</v>
      </c>
      <c r="O52" s="6" t="s">
        <v>25</v>
      </c>
    </row>
    <row r="53" spans="1:15">
      <c r="A53" s="6" t="str">
        <f>+IF($E$1=1,M53,IF($E$1=2,N53,O53))</f>
        <v>Osakepääoma</v>
      </c>
      <c r="B53" s="5" t="e">
        <f ca="1">_xll.HPVAL($J$1,$K$1,$K53,$I$1,"m.ctd","wa")/1000</f>
        <v>#NAME?</v>
      </c>
      <c r="C53" s="37">
        <v>329.41699999999997</v>
      </c>
      <c r="D53" s="37">
        <v>325.50200000000001</v>
      </c>
      <c r="E53" s="36">
        <v>329.37400000000002</v>
      </c>
      <c r="F53" s="5"/>
      <c r="G53" s="8"/>
      <c r="H53" s="68"/>
      <c r="I53" s="4"/>
      <c r="J53" s="4"/>
      <c r="K53" s="17">
        <v>2000000</v>
      </c>
      <c r="L53" s="4"/>
      <c r="M53" s="6" t="s">
        <v>588</v>
      </c>
      <c r="N53" s="2" t="s">
        <v>119</v>
      </c>
      <c r="O53" s="6" t="s">
        <v>154</v>
      </c>
    </row>
    <row r="54" spans="1:15">
      <c r="A54" s="85" t="str">
        <f>+IF($E$1=1,M54,IF($E$1=2,N54,O54))</f>
        <v>Muu oma pääoma</v>
      </c>
      <c r="B54" s="55" t="e">
        <f ca="1">_xll.HPVAL($J$1,$K$1,$K54,$I$1,"m.ctd","wa")/1000-_xll.HPVAL($J$1,$K$1,$K53,$I$1,"m.ctd","wa")/1000</f>
        <v>#NAME?</v>
      </c>
      <c r="C54" s="56">
        <f>1104.472-C53</f>
        <v>775.05500000000006</v>
      </c>
      <c r="D54" s="56">
        <f>1002.314-D53</f>
        <v>676.8119999999999</v>
      </c>
      <c r="E54" s="56">
        <f>1153.146-E53</f>
        <v>823.77199999999993</v>
      </c>
      <c r="F54" s="5"/>
      <c r="G54" s="8"/>
      <c r="H54" s="68"/>
      <c r="I54" s="4"/>
      <c r="J54" s="4"/>
      <c r="K54" s="17" t="s">
        <v>766</v>
      </c>
      <c r="L54" s="4"/>
      <c r="M54" s="6" t="s">
        <v>589</v>
      </c>
      <c r="N54" s="2" t="s">
        <v>150</v>
      </c>
      <c r="O54" s="6" t="s">
        <v>155</v>
      </c>
    </row>
    <row r="55" spans="1:15">
      <c r="A55" s="6" t="str">
        <f>+IF($E$1=1,M55,IF($E$1=2,N55,O55))</f>
        <v>Emoyhtiön omistajille kuuluva oma pääoma</v>
      </c>
      <c r="B55" s="37" t="e">
        <f ca="1">SUM(B53:B54)</f>
        <v>#NAME?</v>
      </c>
      <c r="C55" s="37">
        <f>SUM(C53:C54)</f>
        <v>1104.472</v>
      </c>
      <c r="D55" s="37">
        <f>SUM(D53:D54)</f>
        <v>1002.3139999999999</v>
      </c>
      <c r="E55" s="37">
        <f>SUM(E53:E54)</f>
        <v>1153.146</v>
      </c>
      <c r="F55" s="5"/>
      <c r="G55" s="8"/>
      <c r="H55" s="68"/>
      <c r="I55" s="4"/>
      <c r="J55" s="4"/>
      <c r="K55" s="17"/>
      <c r="L55" s="4"/>
      <c r="M55" s="6" t="s">
        <v>732</v>
      </c>
      <c r="N55" s="2" t="s">
        <v>781</v>
      </c>
      <c r="O55" s="6" t="s">
        <v>733</v>
      </c>
    </row>
    <row r="56" spans="1:15">
      <c r="A56" s="6"/>
      <c r="B56" s="37"/>
      <c r="C56" s="37"/>
      <c r="D56" s="37"/>
      <c r="E56" s="37"/>
      <c r="F56" s="5"/>
      <c r="G56" s="8"/>
      <c r="H56" s="68"/>
      <c r="I56" s="4"/>
      <c r="J56" s="4"/>
      <c r="K56" s="17"/>
      <c r="L56" s="4"/>
      <c r="M56" s="6"/>
      <c r="N56" s="2"/>
      <c r="O56" s="6"/>
    </row>
    <row r="57" spans="1:15">
      <c r="A57" s="85" t="str">
        <f>+IF($E$1=1,M57,IF($E$1=2,N57,O57))</f>
        <v>Vähemmistöosuus</v>
      </c>
      <c r="B57" s="55" t="e">
        <f ca="1">_xll.HPVAL($J$1,$K$1,$K57,$I$1,"m.ctd","wa")/1000</f>
        <v>#NAME?</v>
      </c>
      <c r="C57" s="56">
        <v>9.6319999999999997</v>
      </c>
      <c r="D57" s="56">
        <v>8.8629999999999995</v>
      </c>
      <c r="E57" s="42">
        <v>9.81</v>
      </c>
      <c r="F57" s="5"/>
      <c r="G57" s="8"/>
      <c r="H57" s="68"/>
      <c r="I57" s="4"/>
      <c r="J57" s="4"/>
      <c r="K57" s="17">
        <v>2060000</v>
      </c>
      <c r="L57" s="4"/>
      <c r="M57" s="6" t="s">
        <v>586</v>
      </c>
      <c r="N57" s="2" t="s">
        <v>567</v>
      </c>
      <c r="O57" s="6" t="s">
        <v>530</v>
      </c>
    </row>
    <row r="58" spans="1:15">
      <c r="A58" s="10" t="str">
        <f>+IF($E$1=1,M58,IF($E$1=2,N58,O58))</f>
        <v>Oma pääoma yhteensä</v>
      </c>
      <c r="B58" s="36" t="e">
        <f ca="1">SUM(B55:B57)</f>
        <v>#NAME?</v>
      </c>
      <c r="C58" s="36">
        <f>SUM(C55:C57)</f>
        <v>1114.104</v>
      </c>
      <c r="D58" s="36">
        <f>SUM(D55:D57)</f>
        <v>1011.1769999999999</v>
      </c>
      <c r="E58" s="36">
        <f>SUM(E55:E57)</f>
        <v>1162.9559999999999</v>
      </c>
      <c r="F58" s="5"/>
      <c r="G58" s="8"/>
      <c r="H58" s="68"/>
      <c r="I58" s="4"/>
      <c r="J58" s="4"/>
      <c r="K58" s="4"/>
      <c r="L58" s="4"/>
      <c r="M58" s="6" t="s">
        <v>543</v>
      </c>
      <c r="N58" s="2" t="s">
        <v>505</v>
      </c>
      <c r="O58" s="6" t="s">
        <v>506</v>
      </c>
    </row>
    <row r="59" spans="1:15">
      <c r="A59" s="10"/>
      <c r="B59" s="36"/>
      <c r="C59" s="36"/>
      <c r="D59" s="36"/>
      <c r="E59" s="36"/>
      <c r="F59" s="5"/>
      <c r="G59" s="8"/>
      <c r="H59" s="68"/>
      <c r="I59" s="4"/>
      <c r="J59" s="4"/>
      <c r="K59" s="4"/>
      <c r="L59" s="4"/>
      <c r="M59" s="10"/>
      <c r="N59" s="2"/>
      <c r="O59" s="6"/>
    </row>
    <row r="60" spans="1:15">
      <c r="A60" s="10" t="str">
        <f>+IF($E$1=1,M60,IF($E$1=2,N60,O60))</f>
        <v>Pitkäaikaiset velat</v>
      </c>
      <c r="B60" s="6"/>
      <c r="C60" s="6"/>
      <c r="D60" s="6"/>
      <c r="E60" s="36"/>
      <c r="F60" s="5"/>
      <c r="G60" s="8"/>
      <c r="H60" s="68"/>
      <c r="I60" s="4"/>
      <c r="J60" s="4"/>
      <c r="K60" s="17"/>
      <c r="L60" s="17"/>
      <c r="M60" s="6" t="s">
        <v>26</v>
      </c>
      <c r="N60" s="2" t="s">
        <v>713</v>
      </c>
      <c r="O60" s="6" t="s">
        <v>422</v>
      </c>
    </row>
    <row r="61" spans="1:15">
      <c r="A61" s="6" t="str">
        <f>+IF($E$1=1,M61,IF($E$1=2,N61,O61))</f>
        <v>Korolliset velat</v>
      </c>
      <c r="B61" s="40" t="e">
        <f ca="1">_xll.HPVAL($J$1,$K$1,$K61,$I$1,"m.ctd","wa")/1000+_xll.HPVAL($J$1,$K$1,$L61,$I$1,"m.ctd","wa")/1000+_xll.HPVAL($J$1,$K$1,$J61,$I$1,"m.ctd","wa")/1000</f>
        <v>#NAME?</v>
      </c>
      <c r="C61" s="5">
        <v>223.26499999999999</v>
      </c>
      <c r="D61" s="5">
        <v>244.25200000000001</v>
      </c>
      <c r="E61" s="36">
        <v>229.38300000000001</v>
      </c>
      <c r="F61" s="5"/>
      <c r="G61" s="8"/>
      <c r="H61" s="68"/>
      <c r="I61" s="4"/>
      <c r="J61" s="4">
        <v>2210000</v>
      </c>
      <c r="K61" s="17" t="s">
        <v>767</v>
      </c>
      <c r="L61" s="17">
        <v>2250000</v>
      </c>
      <c r="M61" s="6" t="s">
        <v>737</v>
      </c>
      <c r="N61" s="2" t="s">
        <v>645</v>
      </c>
      <c r="O61" s="6" t="s">
        <v>646</v>
      </c>
    </row>
    <row r="62" spans="1:15">
      <c r="A62" s="6" t="str">
        <f>+IF($E$1=1,M62,IF($E$1=2,N62,O62))</f>
        <v>Laskennalliset verovelat</v>
      </c>
      <c r="B62" s="40" t="e">
        <f ca="1">_xll.HPVAL($J$1,$K$1,$K62,$I$1,"m.ctd","wa")/1000+_xll.HPVAL($J$1,$K$1,$L62,$I$1,"m.ctd","wa")/1000</f>
        <v>#NAME?</v>
      </c>
      <c r="C62" s="5">
        <f>90.167+3.359</f>
        <v>93.525999999999996</v>
      </c>
      <c r="D62" s="5">
        <f>64.318+4.612</f>
        <v>68.929999999999993</v>
      </c>
      <c r="E62" s="36">
        <v>78.777000000000001</v>
      </c>
      <c r="F62" s="5"/>
      <c r="G62" s="8"/>
      <c r="H62" s="68"/>
      <c r="I62" s="4"/>
      <c r="J62" s="4"/>
      <c r="K62" s="17">
        <v>2380000</v>
      </c>
      <c r="L62" s="17">
        <v>2380100</v>
      </c>
      <c r="M62" s="6" t="s">
        <v>734</v>
      </c>
      <c r="N62" s="2" t="s">
        <v>735</v>
      </c>
      <c r="O62" s="6" t="s">
        <v>736</v>
      </c>
    </row>
    <row r="63" spans="1:15">
      <c r="A63" s="85" t="str">
        <f>+IF($E$1=1,M63,IF($E$1=2,N63,O63))</f>
        <v>Muut velat</v>
      </c>
      <c r="B63" s="55" t="e">
        <f ca="1">_xll.HPVAL($J$1,$K$1,$K63,$I$1,"m.ctd","wa")/1000-_xll.HPVAL($J$1,$K$1,$K62,$I$1,"m.ctd","wa")/1000-_xll.HPVAL($J$1,$K$1,$L62,$I$1,"m.ctd","wa")/1000-_xll.HPVAL($J$1,$K$1,$L61,$I$1,"m.ctd","wa")/1000-_xll.HPVAL($J$1,$K$1,$J61,$I$1,"m.ctd","wa")/1000-_xll.HPVAL($J$1,$K$1,$K61,$I$1,"m.ctd","wa")/1000</f>
        <v>#NAME?</v>
      </c>
      <c r="C63" s="55">
        <f>388.604-C61-C62</f>
        <v>71.813000000000002</v>
      </c>
      <c r="D63" s="55">
        <f>385.665-SUM(D61:D62)</f>
        <v>72.483000000000004</v>
      </c>
      <c r="E63" s="42">
        <f>50.455+17.025+1.532</f>
        <v>69.011999999999986</v>
      </c>
      <c r="F63" s="5"/>
      <c r="G63" s="8"/>
      <c r="H63" s="68"/>
      <c r="I63" s="4"/>
      <c r="J63" s="4"/>
      <c r="K63" s="4" t="s">
        <v>768</v>
      </c>
      <c r="L63" s="4"/>
      <c r="M63" s="6" t="s">
        <v>138</v>
      </c>
      <c r="N63" s="2" t="s">
        <v>686</v>
      </c>
      <c r="O63" s="6" t="s">
        <v>685</v>
      </c>
    </row>
    <row r="64" spans="1:15">
      <c r="A64" s="6"/>
      <c r="B64" s="22" t="e">
        <f ca="1">SUM(B61:B63)</f>
        <v>#NAME?</v>
      </c>
      <c r="C64" s="22">
        <f>SUM(C61:C63)</f>
        <v>388.60399999999998</v>
      </c>
      <c r="D64" s="22">
        <f>SUM(D61:D63)-0.1</f>
        <v>385.565</v>
      </c>
      <c r="E64" s="36">
        <f>SUM(E61:E63)</f>
        <v>377.17200000000003</v>
      </c>
      <c r="F64" s="5"/>
      <c r="G64" s="8"/>
      <c r="H64" s="68"/>
      <c r="I64" s="4"/>
      <c r="J64" s="4"/>
      <c r="K64" s="4"/>
      <c r="L64" s="4"/>
      <c r="M64" s="6"/>
      <c r="N64" s="2"/>
      <c r="O64" s="6"/>
    </row>
    <row r="65" spans="1:17">
      <c r="A65" s="10" t="str">
        <f>+IF($E$1=1,M65,IF($E$1=2,N65,O65))</f>
        <v>Lyhytaikaiset velat</v>
      </c>
      <c r="B65" s="5"/>
      <c r="C65" s="5"/>
      <c r="D65" s="5"/>
      <c r="E65" s="36"/>
      <c r="F65" s="5"/>
      <c r="G65" s="8"/>
      <c r="H65" s="68"/>
      <c r="I65" s="4"/>
      <c r="J65" s="4"/>
      <c r="K65" s="4"/>
      <c r="L65" s="4"/>
      <c r="M65" s="6" t="s">
        <v>166</v>
      </c>
      <c r="N65" s="2" t="s">
        <v>167</v>
      </c>
      <c r="O65" s="6" t="s">
        <v>568</v>
      </c>
    </row>
    <row r="66" spans="1:17">
      <c r="A66" s="6" t="str">
        <f>+IF($E$1=1,M66,IF($E$1=2,N66,O66))</f>
        <v>Korolliset velat</v>
      </c>
      <c r="B66" s="40" t="e">
        <f ca="1">_xll.HPVAL($J$1,$K$1,$K66,$I$1,"m.ctd","wa")/1000</f>
        <v>#NAME?</v>
      </c>
      <c r="C66" s="5">
        <v>352.78199999999998</v>
      </c>
      <c r="D66" s="5">
        <v>337.07400000000001</v>
      </c>
      <c r="E66" s="36">
        <v>174.23699999999999</v>
      </c>
      <c r="F66" s="5"/>
      <c r="G66" s="8"/>
      <c r="H66" s="68"/>
      <c r="I66" s="4"/>
      <c r="J66" s="4"/>
      <c r="K66" s="4" t="s">
        <v>769</v>
      </c>
      <c r="L66" s="4"/>
      <c r="M66" s="6" t="s">
        <v>737</v>
      </c>
      <c r="N66" s="2" t="s">
        <v>645</v>
      </c>
      <c r="O66" s="6" t="s">
        <v>646</v>
      </c>
    </row>
    <row r="67" spans="1:17">
      <c r="A67" s="85" t="str">
        <f>+IF($E$1=1,M67,IF($E$1=2,N67,O67))</f>
        <v>Muut velat</v>
      </c>
      <c r="B67" s="42" t="e">
        <f ca="1">_xll.HPVAL($J$1,$K$1,$K67,$I$1,"m.ctd","wa")/1000-_xll.HPVAL($J$1,$K$1,$L67,$I$1,"m.ctd","wa")/1000</f>
        <v>#NAME?</v>
      </c>
      <c r="C67" s="42">
        <f>1599.244-C66</f>
        <v>1246.462</v>
      </c>
      <c r="D67" s="55">
        <v>1027.2260000000001</v>
      </c>
      <c r="E67" s="42">
        <f>1328.495-E66</f>
        <v>1154.2579999999998</v>
      </c>
      <c r="F67" s="5"/>
      <c r="G67" s="8"/>
      <c r="H67" s="68"/>
      <c r="I67" s="4"/>
      <c r="J67" s="4"/>
      <c r="K67" s="4" t="s">
        <v>770</v>
      </c>
      <c r="L67" s="4" t="s">
        <v>769</v>
      </c>
      <c r="M67" s="6" t="s">
        <v>138</v>
      </c>
      <c r="N67" s="2" t="s">
        <v>686</v>
      </c>
      <c r="O67" s="6" t="s">
        <v>685</v>
      </c>
    </row>
    <row r="68" spans="1:17">
      <c r="A68" s="6"/>
      <c r="B68" s="36" t="e">
        <f ca="1">SUM(B66:B67)</f>
        <v>#NAME?</v>
      </c>
      <c r="C68" s="36">
        <f>SUM(C66:C67)</f>
        <v>1599.2439999999999</v>
      </c>
      <c r="D68" s="36">
        <f>SUM(D66:D67)</f>
        <v>1364.3000000000002</v>
      </c>
      <c r="E68" s="36">
        <f>SUM(E66:E67)</f>
        <v>1328.4949999999999</v>
      </c>
      <c r="F68" s="5"/>
      <c r="G68" s="8"/>
      <c r="H68" s="68"/>
      <c r="I68" s="4"/>
      <c r="J68" s="4"/>
      <c r="K68" s="4"/>
      <c r="L68" s="4"/>
      <c r="M68" s="6"/>
      <c r="N68" s="2"/>
      <c r="O68" s="6"/>
    </row>
    <row r="69" spans="1:17">
      <c r="A69" s="39"/>
      <c r="B69" s="36"/>
      <c r="C69" s="36"/>
      <c r="D69" s="36"/>
      <c r="E69" s="36"/>
      <c r="F69" s="5"/>
      <c r="G69" s="8"/>
      <c r="H69" s="68"/>
      <c r="I69" s="4"/>
      <c r="J69" s="4"/>
      <c r="K69" s="4"/>
      <c r="L69" s="4"/>
      <c r="M69" s="6"/>
      <c r="N69" s="2"/>
      <c r="O69" s="6"/>
    </row>
    <row r="70" spans="1:17" s="50" customFormat="1">
      <c r="A70" s="10" t="str">
        <f>+IF($E$1=1,M70,IF($E$1=2,N70,O70))</f>
        <v>Vieras pääoma yhteensä</v>
      </c>
      <c r="B70" s="80" t="e">
        <f ca="1">B64+B68</f>
        <v>#NAME?</v>
      </c>
      <c r="C70" s="80">
        <f>C64+C68</f>
        <v>1987.848</v>
      </c>
      <c r="D70" s="80">
        <f>D64+D68</f>
        <v>1749.8650000000002</v>
      </c>
      <c r="E70" s="80">
        <f>E64+E68</f>
        <v>1705.6669999999999</v>
      </c>
      <c r="F70" s="40"/>
      <c r="G70" s="11"/>
      <c r="H70" s="68"/>
      <c r="I70" s="28"/>
      <c r="J70" s="28"/>
      <c r="K70" s="28"/>
      <c r="L70" s="28"/>
      <c r="M70" s="39" t="s">
        <v>103</v>
      </c>
      <c r="N70" s="41" t="s">
        <v>502</v>
      </c>
      <c r="O70" s="39" t="s">
        <v>104</v>
      </c>
    </row>
    <row r="71" spans="1:17">
      <c r="A71" s="85"/>
      <c r="B71" s="36"/>
      <c r="C71" s="36"/>
      <c r="D71" s="36"/>
      <c r="E71" s="36"/>
      <c r="F71" s="5"/>
      <c r="G71" s="8"/>
      <c r="H71" s="68"/>
      <c r="I71" s="4"/>
      <c r="J71" s="4"/>
      <c r="K71" s="4"/>
      <c r="L71" s="4"/>
      <c r="M71" s="6"/>
      <c r="N71" s="2"/>
      <c r="O71" s="6"/>
    </row>
    <row r="72" spans="1:17">
      <c r="A72" s="91" t="str">
        <f>+IF($E$1=1,M72,IF($E$1=2,N72,O72))</f>
        <v>Vastattavaa</v>
      </c>
      <c r="B72" s="43" t="e">
        <f ca="1">+B68+B64+B58</f>
        <v>#NAME?</v>
      </c>
      <c r="C72" s="43">
        <f>+C68+C64+C58</f>
        <v>3101.9520000000002</v>
      </c>
      <c r="D72" s="43">
        <f>+D68+D64+D58+0.1</f>
        <v>2761.1420000000003</v>
      </c>
      <c r="E72" s="43">
        <f>+E68+E64+E58</f>
        <v>2868.6229999999996</v>
      </c>
      <c r="F72" s="5"/>
      <c r="G72" s="8"/>
      <c r="H72" s="69"/>
      <c r="I72" s="4"/>
      <c r="J72" s="169" t="s">
        <v>765</v>
      </c>
      <c r="K72" s="170" t="e">
        <f ca="1">B49-B72</f>
        <v>#NAME?</v>
      </c>
      <c r="L72" s="4"/>
      <c r="M72" s="6" t="s">
        <v>689</v>
      </c>
      <c r="N72" s="2" t="s">
        <v>182</v>
      </c>
      <c r="O72" s="6" t="s">
        <v>688</v>
      </c>
    </row>
    <row r="75" spans="1:17">
      <c r="A75" s="23" t="str">
        <f t="shared" ref="A75:A86" si="2">+IF($E$1=1,M75,IF($E$1=2,N75,O75))</f>
        <v>LYHENNETTY RAHAVIRTALASKELMA</v>
      </c>
      <c r="M75" s="21" t="s">
        <v>690</v>
      </c>
      <c r="N75" s="21" t="s">
        <v>296</v>
      </c>
      <c r="O75" s="26" t="s">
        <v>297</v>
      </c>
      <c r="P75" s="4"/>
      <c r="Q75" s="4"/>
    </row>
    <row r="76" spans="1:17">
      <c r="A76" s="97" t="str">
        <f t="shared" si="2"/>
        <v>MEUR</v>
      </c>
      <c r="B76" s="131" t="s">
        <v>360</v>
      </c>
      <c r="C76" s="131" t="s">
        <v>360</v>
      </c>
      <c r="D76" s="131" t="s">
        <v>571</v>
      </c>
      <c r="E76" s="109">
        <v>2005</v>
      </c>
      <c r="H76" s="63"/>
      <c r="M76" s="2" t="s">
        <v>700</v>
      </c>
      <c r="N76" s="2" t="s">
        <v>700</v>
      </c>
      <c r="O76" s="2" t="s">
        <v>700</v>
      </c>
      <c r="P76" s="4"/>
      <c r="Q76" s="4"/>
    </row>
    <row r="77" spans="1:17">
      <c r="A77" s="23" t="str">
        <f t="shared" si="2"/>
        <v>Liiketoiminnan rahavirta:</v>
      </c>
      <c r="H77" s="63"/>
      <c r="M77" s="4" t="s">
        <v>188</v>
      </c>
      <c r="N77" s="4" t="s">
        <v>189</v>
      </c>
      <c r="O77" s="25" t="s">
        <v>190</v>
      </c>
      <c r="P77" s="4"/>
      <c r="Q77" s="4"/>
    </row>
    <row r="78" spans="1:17">
      <c r="A78" s="18" t="str">
        <f t="shared" si="2"/>
        <v>Tulos ennen veroja</v>
      </c>
      <c r="B78" s="36" t="e">
        <f ca="1">+B18</f>
        <v>#NAME?</v>
      </c>
      <c r="C78" s="36">
        <f>+C18</f>
        <v>39.997000000000057</v>
      </c>
      <c r="D78" s="80">
        <f>D18</f>
        <v>92.471999999999952</v>
      </c>
      <c r="E78" s="22">
        <v>212.35599999999999</v>
      </c>
      <c r="H78" s="63"/>
      <c r="M78" s="6" t="str">
        <f>+M18</f>
        <v>Tulos ennen veroja</v>
      </c>
      <c r="N78" s="6" t="str">
        <f>+N18</f>
        <v>Profit before taxes</v>
      </c>
      <c r="O78" s="6" t="str">
        <f>+O18</f>
        <v>Resultat före skatter</v>
      </c>
      <c r="P78" s="4"/>
      <c r="Q78" s="4"/>
    </row>
    <row r="79" spans="1:17">
      <c r="A79" s="18" t="str">
        <f t="shared" si="2"/>
        <v>Poistot ja arvonalentumiset</v>
      </c>
      <c r="B79" s="36" t="e">
        <f ca="1">-B13</f>
        <v>#NAME?</v>
      </c>
      <c r="C79" s="36">
        <f>-C13</f>
        <v>17.616</v>
      </c>
      <c r="D79" s="36">
        <f>-D13</f>
        <v>35.191000000000003</v>
      </c>
      <c r="E79" s="22">
        <v>71.552000000000007</v>
      </c>
      <c r="H79" s="63"/>
      <c r="M79" s="4" t="s">
        <v>593</v>
      </c>
      <c r="N79" s="4" t="s">
        <v>504</v>
      </c>
      <c r="O79" s="25" t="s">
        <v>594</v>
      </c>
      <c r="P79" s="4"/>
      <c r="Q79" s="4"/>
    </row>
    <row r="80" spans="1:17">
      <c r="A80" s="18" t="str">
        <f t="shared" si="2"/>
        <v>Rahoitustuotot ja -kulut</v>
      </c>
      <c r="B80" s="36" t="e">
        <f ca="1">-B15</f>
        <v>#NAME?</v>
      </c>
      <c r="C80" s="36">
        <f>-C15</f>
        <v>2.58</v>
      </c>
      <c r="D80" s="36">
        <f>-D15</f>
        <v>9.4480000000000004</v>
      </c>
      <c r="E80" s="22">
        <v>23.417000000000002</v>
      </c>
      <c r="H80" s="63"/>
      <c r="M80" s="6" t="str">
        <f>+M15</f>
        <v>Rahoitustuotot ja -kulut</v>
      </c>
      <c r="N80" s="6" t="str">
        <f>+N15</f>
        <v>Financial income and expenses</v>
      </c>
      <c r="O80" s="6" t="str">
        <f>+O15</f>
        <v>Finansiella intäkter och kostnader</v>
      </c>
      <c r="P80" s="4"/>
      <c r="Q80" s="4"/>
    </row>
    <row r="81" spans="1:17">
      <c r="A81" s="8" t="str">
        <f t="shared" si="2"/>
        <v>Käyttöomaisuuden myyntivoitot ja -tappiot ja muut oikaisut</v>
      </c>
      <c r="B81" s="84" t="e">
        <f ca="1">-(_xll.HPVAL($J$1,$K$1,$K81,$I$1,"m.ctd","wa")/1000+_xll.HPVAL($J$1,$K$1,$L81,$I$1,"m.ctd","wa")/1000)</f>
        <v>#NAME?</v>
      </c>
      <c r="C81" s="36">
        <f>-0.502-0.403</f>
        <v>-0.90500000000000003</v>
      </c>
      <c r="D81" s="36">
        <f>-6.07-(-1.127)</f>
        <v>-4.9430000000000005</v>
      </c>
      <c r="E81" s="22">
        <f>-11.846-1.494</f>
        <v>-13.34</v>
      </c>
      <c r="H81" s="63"/>
      <c r="J81" s="192" t="e">
        <f ca="1">_xll.HPVAL($J$2,$K$2,$J82,$I$2,"m.ctd","wa")/1000-_xll.HPVAL($J$1,$K$1,$J82,$I$1,"m.ctd","wa")/1000+(_xll.HPVAL($J$2,$K$2,$K82,$I$2,"m.ctd","wa")/1000-_xll.HPVAL($J$1,$K$1,$K82,$I$1,"m.ctd","wa")/1000)+(B67-E67)+(_xll.HPVAL($J$1,$K$1,$L82,$I$1,"m.ctd","wa")/1000-_xll.HPVAL($J$2,$K$2,$L82,$I$2,"m.ctd","wa")/1000)</f>
        <v>#NAME?</v>
      </c>
      <c r="K81" t="s">
        <v>774</v>
      </c>
      <c r="L81" t="s">
        <v>775</v>
      </c>
      <c r="M81" s="28" t="s">
        <v>192</v>
      </c>
      <c r="N81" s="28" t="s">
        <v>844</v>
      </c>
      <c r="O81" s="29" t="s">
        <v>720</v>
      </c>
      <c r="P81" s="4"/>
      <c r="Q81" s="4"/>
    </row>
    <row r="82" spans="1:17">
      <c r="A82" s="18" t="str">
        <f t="shared" si="2"/>
        <v>Osuus osakkuusyhtiöiden tuloksesta</v>
      </c>
      <c r="B82" s="36" t="e">
        <f ca="1">-B17</f>
        <v>#NAME?</v>
      </c>
      <c r="C82" s="36">
        <f>-C17</f>
        <v>-6.657</v>
      </c>
      <c r="D82" s="36">
        <f>-D17</f>
        <v>-7.1479999999999997</v>
      </c>
      <c r="E82" s="22">
        <v>-10.91</v>
      </c>
      <c r="H82" s="63"/>
      <c r="J82" s="187" t="s">
        <v>764</v>
      </c>
      <c r="K82" s="187" t="s">
        <v>760</v>
      </c>
      <c r="L82" s="188">
        <v>2030100</v>
      </c>
      <c r="M82" s="6" t="str">
        <f>+M17</f>
        <v>Osuus osakkuusyhtiöiden tuloksesta</v>
      </c>
      <c r="N82" s="6" t="str">
        <f>+N17</f>
        <v>Share of profit of associates</v>
      </c>
      <c r="O82" s="6" t="str">
        <f>+O17</f>
        <v>Resultatandel i intresseföretag</v>
      </c>
      <c r="P82" s="4"/>
      <c r="Q82" s="4"/>
    </row>
    <row r="83" spans="1:17">
      <c r="A83" s="89" t="str">
        <f t="shared" si="2"/>
        <v>Käyttöpääoman muutos</v>
      </c>
      <c r="B83" s="189">
        <f>-8.751-123.732+89.029+13.439-15.392+16.284-0.709</f>
        <v>-29.832000000000011</v>
      </c>
      <c r="C83" s="42">
        <f>-8.751-123.732+89.029+13.439-15.392+16.284-0.709</f>
        <v>-29.832000000000011</v>
      </c>
      <c r="D83" s="42">
        <v>-165.65799999999999</v>
      </c>
      <c r="E83" s="45">
        <v>-119.80800000000001</v>
      </c>
      <c r="G83" s="3"/>
      <c r="H83" s="63"/>
      <c r="M83" s="4" t="s">
        <v>845</v>
      </c>
      <c r="N83" s="4" t="s">
        <v>846</v>
      </c>
      <c r="O83" s="25" t="s">
        <v>847</v>
      </c>
      <c r="P83" s="4"/>
      <c r="Q83" s="4"/>
    </row>
    <row r="84" spans="1:17">
      <c r="A84" s="18" t="str">
        <f t="shared" si="2"/>
        <v>Liiketoiminnan rahavirta ennen rahoituseriä ja veroja</v>
      </c>
      <c r="B84" s="36" t="e">
        <f ca="1">SUM(B78:B83)</f>
        <v>#NAME?</v>
      </c>
      <c r="C84" s="36">
        <f>SUM(C78:C83)</f>
        <v>22.799000000000046</v>
      </c>
      <c r="D84" s="36">
        <f>SUM(D78:D83)</f>
        <v>-40.638000000000034</v>
      </c>
      <c r="E84" s="22">
        <f>SUM(E78:E83)</f>
        <v>163.26700000000005</v>
      </c>
      <c r="H84" s="63"/>
      <c r="M84" s="4" t="s">
        <v>848</v>
      </c>
      <c r="N84" s="4" t="s">
        <v>849</v>
      </c>
      <c r="O84" s="25" t="s">
        <v>850</v>
      </c>
      <c r="P84" s="4"/>
      <c r="Q84" s="4"/>
    </row>
    <row r="85" spans="1:17">
      <c r="A85" s="89" t="str">
        <f t="shared" si="2"/>
        <v>Rahoituserät ja tuloverot</v>
      </c>
      <c r="B85" s="40" t="e">
        <f ca="1">_xll.HPVAL($J$1,$K$1,$J85,$I$1,"m.ctd","wa")/1000+(_xll.HPVAL($J$1,$K$1,$K85,$I$1,"m.ctd","wa")/1000+_xll.HPVAL($J$1,$K$1,$L85,$I$1,"m.ctd","wa")/1000)+_xll.HPVAL($J$1,$K$1,$J86,$I$1,"m.ctd","wa")/1000+_xll.HPVAL($J$1,$K$1,$K86,$I$1,"m.ctd","wa")/1000+_xll.HPVAL($J$1,$K$1,$L86,$I$1,"m.ctd","wa")/1000</f>
        <v>#NAME?</v>
      </c>
      <c r="C85" s="42">
        <f>-2.425+0.664+2.772-25.51</f>
        <v>-24.499000000000002</v>
      </c>
      <c r="D85" s="42">
        <v>-51.448</v>
      </c>
      <c r="E85" s="45">
        <v>-87.263999999999996</v>
      </c>
      <c r="H85" s="63"/>
      <c r="J85" t="s">
        <v>596</v>
      </c>
      <c r="K85" t="s">
        <v>780</v>
      </c>
      <c r="L85" s="171" t="s">
        <v>597</v>
      </c>
      <c r="M85" s="28" t="s">
        <v>778</v>
      </c>
      <c r="N85" s="28" t="s">
        <v>779</v>
      </c>
      <c r="O85" s="25" t="s">
        <v>127</v>
      </c>
      <c r="P85" s="4"/>
      <c r="Q85" s="4"/>
    </row>
    <row r="86" spans="1:17" ht="12" thickBot="1">
      <c r="A86" s="92" t="str">
        <f t="shared" si="2"/>
        <v>Liiketoiminnan rahavirta</v>
      </c>
      <c r="B86" s="43" t="e">
        <f ca="1">SUM(B84:B85)</f>
        <v>#NAME?</v>
      </c>
      <c r="C86" s="43">
        <f>SUM(C84:C85)</f>
        <v>-1.6999999999999567</v>
      </c>
      <c r="D86" s="43">
        <f>SUM(D84:D85)</f>
        <v>-92.086000000000041</v>
      </c>
      <c r="E86" s="93">
        <f>SUM(E84:E85)</f>
        <v>76.003000000000057</v>
      </c>
      <c r="G86" s="186"/>
      <c r="H86" s="63"/>
      <c r="J86" t="s">
        <v>598</v>
      </c>
      <c r="K86" t="s">
        <v>599</v>
      </c>
      <c r="L86" s="171" t="s">
        <v>600</v>
      </c>
      <c r="M86" s="30" t="s">
        <v>554</v>
      </c>
      <c r="N86" s="30" t="s">
        <v>555</v>
      </c>
      <c r="O86" s="31" t="s">
        <v>556</v>
      </c>
      <c r="P86" s="4"/>
      <c r="Q86" s="4"/>
    </row>
    <row r="87" spans="1:17" ht="12" thickTop="1">
      <c r="A87" s="18"/>
      <c r="B87" s="36"/>
      <c r="C87" s="36"/>
      <c r="E87" s="22"/>
      <c r="H87" s="63"/>
      <c r="M87" s="4"/>
      <c r="N87" s="4"/>
      <c r="O87" s="25"/>
      <c r="P87" s="4"/>
      <c r="Q87" s="4"/>
    </row>
    <row r="88" spans="1:17">
      <c r="A88" s="23" t="str">
        <f t="shared" ref="A88:A93" si="3">+IF($E$1=1,M88,IF($E$1=2,N88,O88))</f>
        <v>Investointien rahavirta:</v>
      </c>
      <c r="B88" s="36"/>
      <c r="C88" s="36"/>
      <c r="E88" s="22"/>
      <c r="H88" s="63"/>
      <c r="M88" s="4" t="s">
        <v>851</v>
      </c>
      <c r="N88" s="4" t="s">
        <v>852</v>
      </c>
      <c r="O88" s="25" t="s">
        <v>853</v>
      </c>
      <c r="P88" s="4"/>
      <c r="Q88" s="4"/>
    </row>
    <row r="89" spans="1:17">
      <c r="A89" s="18" t="str">
        <f t="shared" si="3"/>
        <v>Investoinnit osakkeisiin ja yritysostot</v>
      </c>
      <c r="B89" s="193">
        <f>-81.066-0.168+61.763+2.406</f>
        <v>-17.065000000000012</v>
      </c>
      <c r="C89" s="73">
        <f>-81.066-0.168+61.763+2.406</f>
        <v>-17.065000000000012</v>
      </c>
      <c r="D89" s="36">
        <v>-141.983</v>
      </c>
      <c r="E89" s="22">
        <f>-125.971-26.193</f>
        <v>-152.16400000000002</v>
      </c>
      <c r="H89" s="63"/>
      <c r="K89" t="s">
        <v>601</v>
      </c>
      <c r="L89" t="s">
        <v>602</v>
      </c>
      <c r="M89" s="4" t="s">
        <v>388</v>
      </c>
      <c r="N89" s="4" t="s">
        <v>483</v>
      </c>
      <c r="O89" s="25" t="s">
        <v>209</v>
      </c>
      <c r="P89" s="4"/>
      <c r="Q89" s="4"/>
    </row>
    <row r="90" spans="1:17">
      <c r="A90" s="18" t="str">
        <f t="shared" si="3"/>
        <v>Nettoinvestoinnit aineellisiin ja aineettomiin hyödykkeisiin</v>
      </c>
      <c r="B90" s="193">
        <f>-14.72+2.769</f>
        <v>-11.951000000000001</v>
      </c>
      <c r="C90" s="73">
        <f>-14.72+2.769</f>
        <v>-11.951000000000001</v>
      </c>
      <c r="D90" s="36">
        <v>-24.311</v>
      </c>
      <c r="E90" s="22">
        <f>-78.974+51.217</f>
        <v>-27.757000000000005</v>
      </c>
      <c r="H90" s="63"/>
      <c r="M90" s="4" t="s">
        <v>386</v>
      </c>
      <c r="N90" s="4" t="s">
        <v>387</v>
      </c>
      <c r="O90" s="25" t="s">
        <v>173</v>
      </c>
      <c r="P90" s="4"/>
      <c r="Q90" s="4"/>
    </row>
    <row r="91" spans="1:17">
      <c r="A91" s="18" t="str">
        <f t="shared" si="3"/>
        <v>Luovutustulot osakkeista</v>
      </c>
      <c r="B91" s="193">
        <v>0.432</v>
      </c>
      <c r="C91" s="73">
        <v>0.432</v>
      </c>
      <c r="D91" s="36">
        <v>1.089</v>
      </c>
      <c r="E91" s="22">
        <v>0.7</v>
      </c>
      <c r="G91" s="36"/>
      <c r="H91" s="63"/>
      <c r="M91" s="4" t="s">
        <v>714</v>
      </c>
      <c r="N91" s="4" t="s">
        <v>539</v>
      </c>
      <c r="O91" s="25" t="s">
        <v>120</v>
      </c>
      <c r="P91" s="4"/>
      <c r="Q91" s="4"/>
    </row>
    <row r="92" spans="1:17">
      <c r="A92" s="94" t="str">
        <f t="shared" si="3"/>
        <v>Rahavirta muista investoinneista</v>
      </c>
      <c r="B92" s="194">
        <f>-0.95+0.086</f>
        <v>-0.86399999999999999</v>
      </c>
      <c r="C92" s="77">
        <f>-0.95+0.086</f>
        <v>-0.86399999999999999</v>
      </c>
      <c r="D92" s="42">
        <v>-0.39500000000000002</v>
      </c>
      <c r="E92" s="45">
        <v>0.9</v>
      </c>
      <c r="H92" s="63"/>
      <c r="M92" s="4" t="s">
        <v>484</v>
      </c>
      <c r="N92" s="4" t="s">
        <v>701</v>
      </c>
      <c r="O92" s="25" t="s">
        <v>313</v>
      </c>
      <c r="P92" s="4"/>
      <c r="Q92" s="4"/>
    </row>
    <row r="93" spans="1:17" ht="12" thickBot="1">
      <c r="A93" s="92" t="str">
        <f t="shared" si="3"/>
        <v>Investointien rahavirta</v>
      </c>
      <c r="B93" s="96">
        <f>SUM(B89:B92)</f>
        <v>-29.448000000000015</v>
      </c>
      <c r="C93" s="96">
        <f>SUM(C89:C92)</f>
        <v>-29.448000000000015</v>
      </c>
      <c r="D93" s="43">
        <f>SUM(D89:D92)</f>
        <v>-165.60000000000002</v>
      </c>
      <c r="E93" s="43">
        <f>SUM(E89:E92)</f>
        <v>-178.32100000000003</v>
      </c>
      <c r="H93" s="63"/>
      <c r="M93" s="32" t="s">
        <v>557</v>
      </c>
      <c r="N93" s="32" t="s">
        <v>558</v>
      </c>
      <c r="O93" s="33" t="s">
        <v>346</v>
      </c>
      <c r="P93" s="4"/>
      <c r="Q93" s="4"/>
    </row>
    <row r="94" spans="1:17" ht="12" thickTop="1">
      <c r="A94" s="18"/>
      <c r="B94" s="73"/>
      <c r="C94" s="73"/>
      <c r="E94" s="22"/>
      <c r="H94" s="63"/>
      <c r="M94" s="28"/>
      <c r="N94" s="28"/>
      <c r="O94" s="29"/>
      <c r="P94" s="4"/>
      <c r="Q94" s="4"/>
    </row>
    <row r="95" spans="1:17">
      <c r="A95" s="23" t="str">
        <f t="shared" ref="A95:A101" si="4">+IF($E$1=1,M95,IF($E$1=2,N95,O95))</f>
        <v>Rahoituksen rahavirta:</v>
      </c>
      <c r="B95" s="73"/>
      <c r="C95" s="73"/>
      <c r="E95" s="22"/>
      <c r="H95" s="63"/>
      <c r="M95" s="4" t="s">
        <v>314</v>
      </c>
      <c r="N95" s="4" t="s">
        <v>332</v>
      </c>
      <c r="O95" s="25" t="s">
        <v>333</v>
      </c>
      <c r="P95" s="4"/>
      <c r="Q95" s="4"/>
    </row>
    <row r="96" spans="1:17">
      <c r="A96" s="18" t="str">
        <f t="shared" si="4"/>
        <v>Maksullinen osakeanti</v>
      </c>
      <c r="B96" s="40" t="e">
        <f ca="1">(_xll.HPVAL($J$1,$K$1,$K96,$I$1,"m.ctd","wa")/1000)</f>
        <v>#NAME?</v>
      </c>
      <c r="C96" s="74">
        <f>139.572-121.886-1.235-16.284</f>
        <v>0.1670000000000087</v>
      </c>
      <c r="E96" s="22">
        <v>22.134</v>
      </c>
      <c r="H96" s="63"/>
      <c r="K96" t="s">
        <v>603</v>
      </c>
      <c r="M96" s="4" t="s">
        <v>334</v>
      </c>
      <c r="N96" s="4" t="s">
        <v>435</v>
      </c>
      <c r="O96" s="25" t="s">
        <v>436</v>
      </c>
      <c r="P96" s="4"/>
      <c r="Q96" s="4"/>
    </row>
    <row r="97" spans="1:17">
      <c r="A97" s="18" t="str">
        <f t="shared" si="4"/>
        <v>Pitkäaikaisten lainojen nostot</v>
      </c>
      <c r="B97" s="40" t="e">
        <f ca="1">(_xll.HPVAL($J$1,$K$1,$K97,$I$1,"m.ctd","wa")/1000)</f>
        <v>#NAME?</v>
      </c>
      <c r="C97" s="74">
        <v>2.1080000000000001</v>
      </c>
      <c r="D97" s="36">
        <v>20.574999999999999</v>
      </c>
      <c r="E97" s="22">
        <v>53.247</v>
      </c>
      <c r="H97" s="63"/>
      <c r="K97" t="s">
        <v>604</v>
      </c>
      <c r="M97" s="4" t="s">
        <v>649</v>
      </c>
      <c r="N97" s="4" t="s">
        <v>650</v>
      </c>
      <c r="O97" s="25" t="s">
        <v>651</v>
      </c>
      <c r="P97" s="4"/>
      <c r="Q97" s="4"/>
    </row>
    <row r="98" spans="1:17">
      <c r="A98" s="18" t="str">
        <f t="shared" si="4"/>
        <v>Pitkäaikaisten lainojen takaisinmaksut ja muut muutokset</v>
      </c>
      <c r="B98" s="40" t="e">
        <f ca="1">_xll.HPVAL($J$1,$K$1,$J98,$I$1,"m.ctd","wa")/1000+_xll.HPVAL($J$1,$K$1,$K98,$I$1,"m.ctd","wa")/1000+_xll.HPVAL($J$1,$K$1,$L98,$I$1,"m.ctd","wa")/1000</f>
        <v>#NAME?</v>
      </c>
      <c r="C98" s="74">
        <v>-10.367000000000001</v>
      </c>
      <c r="D98" s="36">
        <v>-20.882000000000001</v>
      </c>
      <c r="E98" s="22">
        <v>-82.962000000000003</v>
      </c>
      <c r="H98" s="63"/>
      <c r="J98" t="s">
        <v>606</v>
      </c>
      <c r="K98" t="s">
        <v>607</v>
      </c>
      <c r="L98" t="s">
        <v>608</v>
      </c>
      <c r="M98" s="4" t="s">
        <v>652</v>
      </c>
      <c r="N98" s="4" t="s">
        <v>121</v>
      </c>
      <c r="O98" s="25" t="s">
        <v>653</v>
      </c>
      <c r="P98" s="4"/>
      <c r="Q98" s="4"/>
    </row>
    <row r="99" spans="1:17">
      <c r="A99" s="18" t="str">
        <f t="shared" si="4"/>
        <v xml:space="preserve">Maksetut osingot </v>
      </c>
      <c r="B99" s="40" t="e">
        <f ca="1">_xll.HPVAL($J$1,$K$1,$K99,$I$1,"m.ctd","wa")/1000</f>
        <v>#NAME?</v>
      </c>
      <c r="C99" s="74">
        <v>-141.161</v>
      </c>
      <c r="D99" s="36">
        <v>-84.081000000000003</v>
      </c>
      <c r="E99" s="22">
        <v>-83.906999999999996</v>
      </c>
      <c r="H99" s="63"/>
      <c r="K99" t="s">
        <v>605</v>
      </c>
      <c r="M99" s="4" t="s">
        <v>654</v>
      </c>
      <c r="N99" s="4" t="s">
        <v>185</v>
      </c>
      <c r="O99" s="25" t="s">
        <v>595</v>
      </c>
      <c r="P99" s="4"/>
      <c r="Q99" s="4"/>
    </row>
    <row r="100" spans="1:17">
      <c r="A100" s="89" t="str">
        <f t="shared" si="4"/>
        <v xml:space="preserve">Lyhytaikaisten lainojen muutos ja muut muutokset </v>
      </c>
      <c r="B100" s="40" t="e">
        <f ca="1">_xll.HPVAL($J$1,$K$1,$K100,$I$1,"m.ctd","wa")/1000+_xll.HPVAL($J$1,$K$1,$L100,$I$1,"m.ctd","wa")/1000</f>
        <v>#NAME?</v>
      </c>
      <c r="C100" s="196">
        <f>2.139+173.978</f>
        <v>176.11700000000002</v>
      </c>
      <c r="D100" s="42">
        <v>288.31599999999997</v>
      </c>
      <c r="E100" s="45">
        <f>-44.676+183.686+0.07</f>
        <v>139.07999999999998</v>
      </c>
      <c r="H100" s="63"/>
      <c r="K100" t="s">
        <v>604</v>
      </c>
      <c r="L100" t="s">
        <v>609</v>
      </c>
      <c r="M100" s="27" t="s">
        <v>655</v>
      </c>
      <c r="N100" s="27" t="s">
        <v>656</v>
      </c>
      <c r="O100" s="34" t="s">
        <v>7</v>
      </c>
      <c r="P100" s="4"/>
      <c r="Q100" s="4"/>
    </row>
    <row r="101" spans="1:17" ht="12" thickBot="1">
      <c r="A101" s="92" t="str">
        <f t="shared" si="4"/>
        <v>Rahoituksen rahavirta</v>
      </c>
      <c r="B101" s="96" t="e">
        <f ca="1">SUM(B96:B100)</f>
        <v>#NAME?</v>
      </c>
      <c r="C101" s="96">
        <f>SUM(C96:C100)</f>
        <v>26.864000000000033</v>
      </c>
      <c r="D101" s="93">
        <f>SUM(D96:D100)</f>
        <v>203.92799999999997</v>
      </c>
      <c r="E101" s="93">
        <f>SUM(E96:E100)</f>
        <v>47.591999999999985</v>
      </c>
      <c r="H101" s="63"/>
      <c r="M101" s="32" t="s">
        <v>349</v>
      </c>
      <c r="N101" s="32" t="s">
        <v>348</v>
      </c>
      <c r="O101" s="33" t="s">
        <v>347</v>
      </c>
      <c r="P101" s="4"/>
      <c r="Q101" s="4"/>
    </row>
    <row r="102" spans="1:17" ht="12" thickTop="1">
      <c r="A102" s="95"/>
      <c r="B102" s="96"/>
      <c r="C102" s="96"/>
      <c r="D102" s="101"/>
      <c r="E102" s="93"/>
      <c r="H102" s="63"/>
      <c r="M102" s="4"/>
      <c r="N102" s="4"/>
      <c r="O102" s="25"/>
      <c r="P102" s="4"/>
      <c r="Q102" s="4"/>
    </row>
    <row r="103" spans="1:17" ht="12" thickBot="1">
      <c r="A103" s="97" t="str">
        <f>+IF($E$1=1,M103,IF($E$1=2,N103,O103))</f>
        <v>Likvidien varojen muutos, lisäys (+) / vähennys (-)</v>
      </c>
      <c r="B103" s="98" t="e">
        <f ca="1">B86+B93+B101</f>
        <v>#NAME?</v>
      </c>
      <c r="C103" s="98">
        <f>C86+C93+C101</f>
        <v>-4.2839999999999385</v>
      </c>
      <c r="D103" s="99">
        <f>D86+D93+D101</f>
        <v>-53.758000000000067</v>
      </c>
      <c r="E103" s="100">
        <f>+E86+E93+E101</f>
        <v>-54.725999999999985</v>
      </c>
      <c r="H103" s="63"/>
      <c r="M103" s="30" t="s">
        <v>500</v>
      </c>
      <c r="N103" s="30" t="s">
        <v>499</v>
      </c>
      <c r="O103" s="31" t="s">
        <v>644</v>
      </c>
      <c r="P103" s="4"/>
      <c r="Q103" s="4"/>
    </row>
    <row r="104" spans="1:17" ht="12" thickTop="1">
      <c r="A104" s="133"/>
      <c r="B104" s="134"/>
      <c r="C104" s="134"/>
      <c r="D104" s="135"/>
      <c r="E104" s="136"/>
      <c r="H104" s="63"/>
      <c r="M104" s="4"/>
      <c r="N104" s="4"/>
      <c r="O104" s="25"/>
      <c r="P104" s="4"/>
      <c r="Q104" s="4"/>
    </row>
    <row r="105" spans="1:17">
      <c r="A105" s="89"/>
      <c r="B105" s="42"/>
      <c r="C105" s="42"/>
      <c r="D105" s="88"/>
      <c r="E105" s="45"/>
      <c r="H105" s="63"/>
      <c r="M105" s="4"/>
      <c r="N105" s="4"/>
      <c r="O105" s="25"/>
      <c r="P105" s="4"/>
      <c r="Q105" s="4"/>
    </row>
    <row r="106" spans="1:17">
      <c r="A106" s="18" t="str">
        <f>+IF($E$1=1,M106,IF($E$1=2,N106,O106))</f>
        <v>Likvidit varat tilikauden alussa</v>
      </c>
      <c r="B106" s="36">
        <f>+D108</f>
        <v>119.601</v>
      </c>
      <c r="C106" s="36">
        <f>+E108</f>
        <v>119.649</v>
      </c>
      <c r="D106" s="36">
        <f>150.966+18.629</f>
        <v>169.595</v>
      </c>
      <c r="E106" s="22">
        <v>169.58699999999999</v>
      </c>
      <c r="H106" s="63"/>
      <c r="M106" s="4" t="s">
        <v>8</v>
      </c>
      <c r="N106" s="4" t="s">
        <v>702</v>
      </c>
      <c r="O106" s="25" t="s">
        <v>9</v>
      </c>
      <c r="P106" s="4"/>
      <c r="Q106" s="4"/>
    </row>
    <row r="107" spans="1:17">
      <c r="A107" s="18" t="str">
        <f>+IF($E$1=1,M107,IF($E$1=2,N107,O107))</f>
        <v>Muuntoerot</v>
      </c>
      <c r="B107" s="40" t="e">
        <f ca="1">(_xll.HPVAL($J$1,$K$1,$K107,$I$1,"m.ctd","wa")/1000)</f>
        <v>#NAME?</v>
      </c>
      <c r="C107" s="36">
        <v>-0.51800000000000002</v>
      </c>
      <c r="D107" s="154">
        <f>3.8-0.016</f>
        <v>3.7839999999999998</v>
      </c>
      <c r="E107" s="22">
        <v>4.7560000000000002</v>
      </c>
      <c r="H107" s="63"/>
      <c r="K107" t="s">
        <v>610</v>
      </c>
      <c r="M107" s="4" t="s">
        <v>371</v>
      </c>
      <c r="N107" s="4" t="s">
        <v>703</v>
      </c>
      <c r="O107" s="25" t="s">
        <v>174</v>
      </c>
      <c r="P107" s="4"/>
      <c r="Q107" s="4"/>
    </row>
    <row r="108" spans="1:17">
      <c r="A108" s="89" t="str">
        <f>+IF($E$1=1,M108,IF($E$1=2,N108,O108))</f>
        <v>Likvidit varat tilikauden lopussa</v>
      </c>
      <c r="B108" s="42" t="e">
        <f ca="1">B46</f>
        <v>#NAME?</v>
      </c>
      <c r="C108" s="42">
        <f>94.661+20.178</f>
        <v>114.839</v>
      </c>
      <c r="D108" s="42">
        <f>D46</f>
        <v>119.601</v>
      </c>
      <c r="E108" s="45">
        <v>119.649</v>
      </c>
      <c r="F108" s="36"/>
      <c r="G108" s="36"/>
      <c r="H108" s="63"/>
      <c r="M108" s="4" t="s">
        <v>10</v>
      </c>
      <c r="N108" s="4" t="s">
        <v>122</v>
      </c>
      <c r="O108" s="25" t="s">
        <v>11</v>
      </c>
      <c r="P108" s="4"/>
      <c r="Q108" s="4"/>
    </row>
    <row r="109" spans="1:17">
      <c r="H109" s="63"/>
    </row>
    <row r="110" spans="1:17">
      <c r="A110" s="44" t="s">
        <v>664</v>
      </c>
      <c r="B110" s="197" t="e">
        <f ca="1">+B106+B107+B103</f>
        <v>#NAME?</v>
      </c>
      <c r="C110" s="197">
        <f>+C106+C107+C103</f>
        <v>114.84700000000007</v>
      </c>
      <c r="D110" s="155">
        <f>+D106+D107+D103</f>
        <v>119.62099999999992</v>
      </c>
      <c r="E110" s="156">
        <f>+E106+E107+E103</f>
        <v>119.617</v>
      </c>
      <c r="H110" s="63"/>
    </row>
    <row r="111" spans="1:17">
      <c r="B111" s="35" t="e">
        <f ca="1">+B110-B108</f>
        <v>#NAME?</v>
      </c>
      <c r="C111" s="35">
        <f>+C110-C108</f>
        <v>8.0000000000666205E-3</v>
      </c>
    </row>
    <row r="112" spans="1:17">
      <c r="B112" s="35"/>
      <c r="C112" s="35"/>
    </row>
    <row r="113" spans="1:38">
      <c r="A113" s="105" t="str">
        <f>+IF($E$1=1,M113,IF($E$1=2,N113,O113))</f>
        <v>Laskelma oman pääoman muutoksista</v>
      </c>
      <c r="B113" s="10"/>
      <c r="C113" s="10"/>
      <c r="D113" s="5"/>
      <c r="E113" s="12"/>
      <c r="F113" s="4"/>
      <c r="G113" s="4"/>
      <c r="H113" s="4"/>
      <c r="I113" s="4"/>
      <c r="J113" s="4"/>
      <c r="K113" s="4"/>
      <c r="L113" s="4"/>
      <c r="M113" s="4" t="s">
        <v>368</v>
      </c>
      <c r="N113" s="4" t="s">
        <v>184</v>
      </c>
      <c r="O113" s="4" t="s">
        <v>183</v>
      </c>
    </row>
    <row r="114" spans="1:38">
      <c r="A114" s="105"/>
      <c r="B114" s="23"/>
      <c r="C114" s="23" t="str">
        <f>+IF($E$1=1,N114,IF($E$1=2,O114,P114))</f>
        <v>Emoyhtiön omistajille kuuluva oma pääoma</v>
      </c>
      <c r="E114" s="59"/>
      <c r="F114" s="102"/>
      <c r="G114" s="25"/>
      <c r="H114" s="15" t="str">
        <f>+IF($E$1=1,T114,IF($E$1=2,AB114,AJ114))</f>
        <v>Vähemmistö-</v>
      </c>
      <c r="I114" s="15" t="str">
        <f>+IF($E$1=1,U114,IF($E$1=2,AC114,AK114))</f>
        <v>Oma pääoma</v>
      </c>
      <c r="J114" s="15"/>
      <c r="K114" s="15"/>
      <c r="L114" s="15"/>
      <c r="N114" s="25" t="s">
        <v>732</v>
      </c>
      <c r="O114" s="25" t="s">
        <v>781</v>
      </c>
      <c r="P114" s="25" t="s">
        <v>455</v>
      </c>
      <c r="Q114" s="51"/>
      <c r="R114" s="51"/>
      <c r="S114" s="25"/>
      <c r="T114" s="25" t="s">
        <v>456</v>
      </c>
      <c r="U114" s="25" t="s">
        <v>23</v>
      </c>
      <c r="V114" s="25"/>
      <c r="W114" s="25"/>
      <c r="X114" s="25"/>
      <c r="Y114" s="25"/>
      <c r="Z114" s="25"/>
      <c r="AB114" s="25" t="s">
        <v>457</v>
      </c>
      <c r="AC114" s="25" t="s">
        <v>641</v>
      </c>
      <c r="AD114" s="25"/>
      <c r="AE114" s="25"/>
      <c r="AF114" s="25"/>
      <c r="AG114" s="25"/>
      <c r="AH114" s="25"/>
      <c r="AI114" s="25"/>
      <c r="AJ114" s="25" t="s">
        <v>458</v>
      </c>
      <c r="AK114" s="25" t="s">
        <v>25</v>
      </c>
    </row>
    <row r="115" spans="1:38">
      <c r="A115" s="88"/>
      <c r="B115" s="104"/>
      <c r="C115" s="104"/>
      <c r="D115" s="104"/>
      <c r="E115" s="104"/>
      <c r="F115" s="88"/>
      <c r="G115" s="104"/>
      <c r="H115" s="104" t="str">
        <f>+IF($E$1=1,T115,IF($E$1=2,AB115,AJ115))</f>
        <v>osuus</v>
      </c>
      <c r="I115" s="104" t="str">
        <f>+IF($E$1=1,U115,IF($E$1=2,AC115,AK115))</f>
        <v>yhteensä</v>
      </c>
      <c r="J115" s="15"/>
      <c r="K115" s="15"/>
      <c r="L115" s="15"/>
      <c r="M115" s="2" t="s">
        <v>700</v>
      </c>
      <c r="N115" s="2" t="s">
        <v>700</v>
      </c>
      <c r="O115" s="2" t="s">
        <v>700</v>
      </c>
      <c r="P115" s="25"/>
      <c r="R115" s="51"/>
      <c r="S115" s="25"/>
      <c r="T115" s="25" t="s">
        <v>416</v>
      </c>
      <c r="U115" s="25" t="s">
        <v>459</v>
      </c>
      <c r="V115" s="25"/>
      <c r="W115" s="25"/>
      <c r="X115" s="25"/>
      <c r="Z115" s="25"/>
      <c r="AB115" s="25" t="s">
        <v>704</v>
      </c>
      <c r="AC115" s="25" t="s">
        <v>461</v>
      </c>
      <c r="AD115" s="25"/>
      <c r="AE115" s="25"/>
      <c r="AF115" s="25"/>
      <c r="AH115" s="25"/>
      <c r="AI115" s="25"/>
      <c r="AJ115" s="25" t="s">
        <v>463</v>
      </c>
      <c r="AK115" s="25" t="s">
        <v>464</v>
      </c>
    </row>
    <row r="116" spans="1:38">
      <c r="A116" s="10"/>
      <c r="F116" s="15" t="str">
        <f>+IF($E$1=1,Q116,IF($E$1=2,Y116,AG116))</f>
        <v>Arvon-</v>
      </c>
      <c r="Q116" s="25" t="s">
        <v>665</v>
      </c>
      <c r="Y116" s="25" t="s">
        <v>460</v>
      </c>
      <c r="AG116" s="25" t="s">
        <v>462</v>
      </c>
    </row>
    <row r="117" spans="1:38">
      <c r="A117" s="10"/>
      <c r="B117" s="15" t="str">
        <f>+IF($E$1=1,N117,IF($E$1=2,V117,AD117))</f>
        <v>Osake-</v>
      </c>
      <c r="C117" s="15" t="str">
        <f t="shared" ref="C117:E118" si="5">+IF($E$1=1,N117,IF($E$1=2,V117,AD117))</f>
        <v>Osake-</v>
      </c>
      <c r="D117" s="15" t="str">
        <f t="shared" si="5"/>
        <v>Ylikurssi</v>
      </c>
      <c r="E117" s="15" t="str">
        <f t="shared" si="5"/>
        <v>Muunto-</v>
      </c>
      <c r="F117" s="15" t="str">
        <f>+IF($E$1=1,Q117,IF($E$1=2,Y117,AG117))</f>
        <v>muutos-</v>
      </c>
      <c r="G117" s="15" t="str">
        <f>+IF($E$1=1,R117,IF($E$1=2,Z117,AH117))</f>
        <v>Kertyneet</v>
      </c>
      <c r="H117" s="15"/>
      <c r="I117" s="15"/>
      <c r="J117" s="15"/>
      <c r="K117" s="15"/>
      <c r="L117" s="15"/>
      <c r="M117" s="103"/>
      <c r="N117" s="25" t="s">
        <v>465</v>
      </c>
      <c r="O117" s="25" t="s">
        <v>466</v>
      </c>
      <c r="P117" s="25" t="s">
        <v>671</v>
      </c>
      <c r="Q117" s="25" t="s">
        <v>666</v>
      </c>
      <c r="R117" s="25" t="s">
        <v>277</v>
      </c>
      <c r="S117" s="25"/>
      <c r="T117" s="25"/>
      <c r="U117" s="25"/>
      <c r="V117" s="25" t="s">
        <v>467</v>
      </c>
      <c r="W117" s="25" t="s">
        <v>468</v>
      </c>
      <c r="X117" s="25" t="s">
        <v>469</v>
      </c>
      <c r="Y117" s="25" t="s">
        <v>470</v>
      </c>
      <c r="Z117" s="25" t="s">
        <v>471</v>
      </c>
      <c r="AA117" s="25"/>
      <c r="AB117" s="25"/>
      <c r="AC117" s="25"/>
      <c r="AD117" s="25" t="s">
        <v>472</v>
      </c>
      <c r="AE117" s="25" t="s">
        <v>473</v>
      </c>
      <c r="AF117" s="25" t="s">
        <v>474</v>
      </c>
      <c r="AG117" s="25" t="s">
        <v>475</v>
      </c>
      <c r="AH117" s="25" t="s">
        <v>476</v>
      </c>
      <c r="AI117" s="25"/>
      <c r="AJ117" s="25"/>
      <c r="AK117" s="25"/>
    </row>
    <row r="118" spans="1:38">
      <c r="A118" s="91" t="str">
        <f>+IF($E$1=1,M115,IF($E$1=2,N115,O115))</f>
        <v>MEUR</v>
      </c>
      <c r="B118" s="104" t="str">
        <f>+IF($E$1=1,N118,IF($E$1=2,V118,AD118))</f>
        <v>pääoma</v>
      </c>
      <c r="C118" s="104" t="str">
        <f t="shared" si="5"/>
        <v>pääoma</v>
      </c>
      <c r="D118" s="104" t="str">
        <f t="shared" si="5"/>
        <v>rahasto</v>
      </c>
      <c r="E118" s="104" t="str">
        <f t="shared" si="5"/>
        <v>erot</v>
      </c>
      <c r="F118" s="104" t="str">
        <f>+IF($E$1=1,Q118,IF($E$1=2,Y118,AG118))</f>
        <v>rahasto</v>
      </c>
      <c r="G118" s="104" t="str">
        <f>+IF($E$1=1,R118,IF($E$1=2,Z118,AH118))</f>
        <v>voittovarat</v>
      </c>
      <c r="H118" s="88"/>
      <c r="I118" s="88"/>
      <c r="J118" s="50"/>
      <c r="K118" s="50"/>
      <c r="L118" s="50"/>
      <c r="M118" s="103"/>
      <c r="N118" s="25" t="s">
        <v>669</v>
      </c>
      <c r="O118" s="25" t="s">
        <v>670</v>
      </c>
      <c r="P118" s="25" t="s">
        <v>672</v>
      </c>
      <c r="Q118" s="25" t="s">
        <v>670</v>
      </c>
      <c r="R118" s="25" t="s">
        <v>278</v>
      </c>
      <c r="S118" s="25" t="s">
        <v>590</v>
      </c>
      <c r="T118" s="25"/>
      <c r="U118" s="25"/>
      <c r="V118" s="25" t="s">
        <v>477</v>
      </c>
      <c r="W118" s="25" t="s">
        <v>478</v>
      </c>
      <c r="X118" s="25" t="s">
        <v>479</v>
      </c>
      <c r="Y118" s="25" t="s">
        <v>480</v>
      </c>
      <c r="Z118" s="25" t="s">
        <v>113</v>
      </c>
      <c r="AA118" s="25" t="s">
        <v>641</v>
      </c>
      <c r="AB118" s="25"/>
      <c r="AC118" s="25"/>
      <c r="AD118" s="25" t="s">
        <v>114</v>
      </c>
      <c r="AE118" s="25" t="s">
        <v>115</v>
      </c>
      <c r="AF118" s="25" t="s">
        <v>116</v>
      </c>
      <c r="AG118" s="25" t="s">
        <v>117</v>
      </c>
      <c r="AH118" s="25" t="s">
        <v>118</v>
      </c>
      <c r="AI118" s="25" t="s">
        <v>271</v>
      </c>
      <c r="AJ118" s="25"/>
      <c r="AK118" s="25"/>
    </row>
    <row r="119" spans="1:38">
      <c r="A119" s="39"/>
      <c r="B119" s="15"/>
      <c r="C119" s="15"/>
      <c r="D119" s="15"/>
      <c r="E119" s="15"/>
      <c r="F119" s="15"/>
      <c r="G119" s="15"/>
      <c r="H119" s="15"/>
      <c r="I119" s="50"/>
      <c r="J119" s="50"/>
      <c r="K119" s="50"/>
      <c r="L119" s="50"/>
      <c r="N119" s="103"/>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row>
    <row r="120" spans="1:38">
      <c r="A120" s="10" t="str">
        <f>+IF($E$1=1,M120,IF($E$1=2,N120,O120))</f>
        <v>Oma pääoma 31.12.2004</v>
      </c>
      <c r="B120" s="5">
        <v>323.92700000000002</v>
      </c>
      <c r="C120" s="5">
        <v>323.92700000000002</v>
      </c>
      <c r="D120" s="5">
        <v>27.334</v>
      </c>
      <c r="E120" s="5">
        <v>-1.0229999999999999</v>
      </c>
      <c r="F120" s="22"/>
      <c r="G120" s="5">
        <v>542.47199999999998</v>
      </c>
      <c r="H120" s="22">
        <v>7.83</v>
      </c>
      <c r="I120" s="37">
        <f>SUM(C120:H120)</f>
        <v>900.54000000000008</v>
      </c>
      <c r="J120" s="37"/>
      <c r="K120" s="37"/>
      <c r="L120" s="37"/>
      <c r="M120" s="4" t="s">
        <v>706</v>
      </c>
      <c r="N120" s="4" t="s">
        <v>705</v>
      </c>
      <c r="O120" s="4" t="s">
        <v>417</v>
      </c>
    </row>
    <row r="121" spans="1:38">
      <c r="A121" s="10"/>
      <c r="B121" s="5"/>
      <c r="C121" s="5"/>
      <c r="D121" s="5"/>
      <c r="E121" s="5"/>
      <c r="F121" s="22"/>
      <c r="G121" s="5"/>
      <c r="H121" s="22"/>
      <c r="I121" s="37"/>
      <c r="J121" s="37"/>
      <c r="K121" s="37"/>
      <c r="L121" s="37"/>
      <c r="M121" s="4"/>
      <c r="N121" s="4"/>
      <c r="O121" s="4"/>
    </row>
    <row r="122" spans="1:38">
      <c r="A122" s="6" t="str">
        <f t="shared" ref="A122:A134" si="6">+IF($E$1=1,M122,IF($E$1=2,N122,O122))</f>
        <v>IAS 39:n soveltaminen 1.1.2005</v>
      </c>
      <c r="B122" s="72"/>
      <c r="C122" s="72"/>
      <c r="D122" s="8"/>
      <c r="E122" s="8"/>
      <c r="F122" s="8">
        <v>184.172</v>
      </c>
      <c r="G122" s="8"/>
      <c r="H122" s="8"/>
      <c r="I122" s="37">
        <f>SUM(C122:H122)</f>
        <v>184.172</v>
      </c>
      <c r="J122" s="37"/>
      <c r="K122" s="37"/>
      <c r="L122" s="37"/>
      <c r="M122" s="4" t="s">
        <v>438</v>
      </c>
      <c r="N122" s="4" t="s">
        <v>123</v>
      </c>
      <c r="O122" s="4" t="s">
        <v>437</v>
      </c>
    </row>
    <row r="123" spans="1:38">
      <c r="A123" s="6" t="str">
        <f t="shared" si="6"/>
        <v>Muuntoerot</v>
      </c>
      <c r="B123" s="5"/>
      <c r="C123" s="5"/>
      <c r="D123" s="5"/>
      <c r="E123" s="5">
        <v>8.0169999999999995</v>
      </c>
      <c r="F123" s="22"/>
      <c r="G123" s="5"/>
      <c r="H123" s="22">
        <v>1.1579999999999999</v>
      </c>
      <c r="I123" s="37">
        <f>SUM(C123:H123)</f>
        <v>9.1749999999999989</v>
      </c>
      <c r="J123" s="37"/>
      <c r="K123" s="37"/>
      <c r="L123" s="37"/>
      <c r="M123" s="4" t="s">
        <v>371</v>
      </c>
      <c r="N123" s="4" t="s">
        <v>370</v>
      </c>
      <c r="O123" s="4" t="s">
        <v>369</v>
      </c>
    </row>
    <row r="124" spans="1:38">
      <c r="A124" s="6" t="str">
        <f t="shared" si="6"/>
        <v>Muut muutokset</v>
      </c>
      <c r="B124" s="5"/>
      <c r="C124" s="5"/>
      <c r="D124" s="5"/>
      <c r="E124" s="5"/>
      <c r="F124" s="22"/>
      <c r="G124" s="5">
        <v>-0.32900000000000001</v>
      </c>
      <c r="H124" s="22"/>
      <c r="I124" s="37">
        <f>SUM(C124:H124)</f>
        <v>-0.32900000000000001</v>
      </c>
      <c r="J124" s="37"/>
      <c r="K124" s="37"/>
      <c r="L124" s="37"/>
      <c r="M124" s="4" t="s">
        <v>667</v>
      </c>
      <c r="N124" s="4" t="s">
        <v>640</v>
      </c>
      <c r="O124" s="4" t="s">
        <v>668</v>
      </c>
    </row>
    <row r="125" spans="1:38">
      <c r="A125" s="6" t="str">
        <f t="shared" si="6"/>
        <v>Myytävissä olevien sijoitusten</v>
      </c>
      <c r="B125" s="5"/>
      <c r="C125" s="5"/>
      <c r="D125" s="5"/>
      <c r="E125" s="5"/>
      <c r="F125" s="22"/>
      <c r="G125" s="5"/>
      <c r="H125" s="22"/>
      <c r="I125" s="37"/>
      <c r="J125" s="37"/>
      <c r="K125" s="37"/>
      <c r="L125" s="37"/>
      <c r="M125" s="4" t="s">
        <v>439</v>
      </c>
      <c r="N125" s="4" t="s">
        <v>440</v>
      </c>
      <c r="O125" s="4" t="s">
        <v>441</v>
      </c>
    </row>
    <row r="126" spans="1:38">
      <c r="A126" s="6" t="str">
        <f t="shared" si="6"/>
        <v xml:space="preserve">   arvonmuutokset verojen jälkeen</v>
      </c>
      <c r="B126" s="5"/>
      <c r="C126" s="5"/>
      <c r="D126" s="5"/>
      <c r="E126" s="5"/>
      <c r="F126" s="22">
        <v>15.749000000000001</v>
      </c>
      <c r="G126" s="5"/>
      <c r="H126" s="22"/>
      <c r="I126" s="37">
        <f t="shared" ref="I126:I131" si="7">SUM(C126:H126)</f>
        <v>15.749000000000001</v>
      </c>
      <c r="J126" s="37"/>
      <c r="K126" s="37"/>
      <c r="L126" s="37"/>
      <c r="M126" s="4" t="s">
        <v>442</v>
      </c>
      <c r="N126" s="4" t="s">
        <v>707</v>
      </c>
      <c r="O126" s="4" t="s">
        <v>175</v>
      </c>
    </row>
    <row r="127" spans="1:38">
      <c r="A127" s="6" t="str">
        <f t="shared" si="6"/>
        <v xml:space="preserve">   siirretty tuloslaskelmaan, veroilla vähennettynä</v>
      </c>
      <c r="B127" s="5"/>
      <c r="C127" s="5"/>
      <c r="D127" s="5"/>
      <c r="E127" s="5"/>
      <c r="F127" s="22">
        <v>-0.14699999999999999</v>
      </c>
      <c r="G127" s="5"/>
      <c r="H127" s="22"/>
      <c r="I127" s="37">
        <f t="shared" si="7"/>
        <v>-0.14699999999999999</v>
      </c>
      <c r="J127" s="37"/>
      <c r="K127" s="37"/>
      <c r="L127" s="37"/>
      <c r="M127" s="4" t="s">
        <v>443</v>
      </c>
      <c r="N127" s="4" t="s">
        <v>708</v>
      </c>
      <c r="O127" s="4" t="s">
        <v>444</v>
      </c>
    </row>
    <row r="128" spans="1:38">
      <c r="A128" s="85" t="str">
        <f t="shared" si="6"/>
        <v>Rahavirran suojaukset verojen jälkeen</v>
      </c>
      <c r="B128" s="106"/>
      <c r="C128" s="106"/>
      <c r="D128" s="106"/>
      <c r="E128" s="106"/>
      <c r="F128" s="106">
        <v>-52.845999999999997</v>
      </c>
      <c r="G128" s="106"/>
      <c r="H128" s="106"/>
      <c r="I128" s="94">
        <f t="shared" si="7"/>
        <v>-52.845999999999997</v>
      </c>
      <c r="J128" s="163"/>
      <c r="K128" s="163"/>
      <c r="L128" s="163"/>
      <c r="M128" s="4" t="s">
        <v>70</v>
      </c>
      <c r="N128" s="4" t="s">
        <v>248</v>
      </c>
      <c r="O128" s="4" t="s">
        <v>71</v>
      </c>
    </row>
    <row r="129" spans="1:15">
      <c r="A129" s="10" t="str">
        <f t="shared" si="6"/>
        <v>Suoraan omaan pääomaan kirjatut nettotuotot</v>
      </c>
      <c r="B129" s="5"/>
      <c r="C129" s="5"/>
      <c r="D129" s="5"/>
      <c r="E129" s="5">
        <f>SUM(E122:E128)</f>
        <v>8.0169999999999995</v>
      </c>
      <c r="F129" s="5">
        <f>SUM(F122:F128)</f>
        <v>146.928</v>
      </c>
      <c r="G129" s="5">
        <f>SUM(G122:G128)</f>
        <v>-0.32900000000000001</v>
      </c>
      <c r="H129" s="5">
        <f>SUM(H122:H128)</f>
        <v>1.1579999999999999</v>
      </c>
      <c r="I129" s="37">
        <f t="shared" si="7"/>
        <v>155.77399999999997</v>
      </c>
      <c r="J129" s="37"/>
      <c r="K129" s="37"/>
      <c r="L129" s="37"/>
      <c r="M129" s="4" t="s">
        <v>446</v>
      </c>
      <c r="N129" s="4" t="s">
        <v>485</v>
      </c>
      <c r="O129" s="4" t="s">
        <v>486</v>
      </c>
    </row>
    <row r="130" spans="1:15">
      <c r="A130" s="85" t="str">
        <f t="shared" si="6"/>
        <v>Tilikauden tulos</v>
      </c>
      <c r="B130" s="106"/>
      <c r="C130" s="106"/>
      <c r="D130" s="106"/>
      <c r="E130" s="106"/>
      <c r="F130" s="106"/>
      <c r="G130" s="106">
        <v>166.982</v>
      </c>
      <c r="H130" s="106">
        <v>1.417</v>
      </c>
      <c r="I130" s="94">
        <f t="shared" si="7"/>
        <v>168.399</v>
      </c>
      <c r="J130" s="163"/>
      <c r="K130" s="163"/>
      <c r="L130" s="163"/>
      <c r="M130" s="4" t="s">
        <v>587</v>
      </c>
      <c r="N130" s="4" t="s">
        <v>487</v>
      </c>
      <c r="O130" s="4" t="s">
        <v>518</v>
      </c>
    </row>
    <row r="131" spans="1:15">
      <c r="A131" s="10" t="str">
        <f t="shared" si="6"/>
        <v>Kaudelle kirjatut tuotot ja kulut yhteensä</v>
      </c>
      <c r="B131" s="5"/>
      <c r="C131" s="5"/>
      <c r="D131" s="5"/>
      <c r="E131" s="5">
        <f>SUM(E129:E130)</f>
        <v>8.0169999999999995</v>
      </c>
      <c r="F131" s="5">
        <f>SUM(F129:F130)</f>
        <v>146.928</v>
      </c>
      <c r="G131" s="5">
        <f>SUM(G129:G130)</f>
        <v>166.65299999999999</v>
      </c>
      <c r="H131" s="5">
        <f>SUM(H129:H130)</f>
        <v>2.5750000000000002</v>
      </c>
      <c r="I131" s="37">
        <f t="shared" si="7"/>
        <v>324.17299999999994</v>
      </c>
      <c r="J131" s="37"/>
      <c r="K131" s="37"/>
      <c r="L131" s="37"/>
      <c r="M131" s="4" t="s">
        <v>829</v>
      </c>
      <c r="N131" s="4" t="s">
        <v>124</v>
      </c>
      <c r="O131" s="4" t="s">
        <v>547</v>
      </c>
    </row>
    <row r="132" spans="1:15">
      <c r="A132" s="6" t="str">
        <f t="shared" si="6"/>
        <v>Osakepääoman korotus optioiden käytön johdosta</v>
      </c>
      <c r="B132" s="5">
        <v>5.4480000000000004</v>
      </c>
      <c r="C132" s="5">
        <v>5.4480000000000004</v>
      </c>
      <c r="D132" s="5">
        <v>16.687000000000001</v>
      </c>
      <c r="E132" s="5"/>
      <c r="F132" s="22"/>
      <c r="G132" s="5"/>
      <c r="H132" s="22"/>
      <c r="I132" s="37">
        <f>SUM(C132:G132)</f>
        <v>22.135000000000002</v>
      </c>
      <c r="J132" s="37"/>
      <c r="K132" s="37"/>
      <c r="L132" s="37"/>
      <c r="M132" s="4" t="s">
        <v>548</v>
      </c>
      <c r="N132" s="4" t="s">
        <v>549</v>
      </c>
      <c r="O132" s="4" t="s">
        <v>550</v>
      </c>
    </row>
    <row r="133" spans="1:15">
      <c r="A133" s="85" t="str">
        <f t="shared" si="6"/>
        <v>Maksetut osingot</v>
      </c>
      <c r="B133" s="106"/>
      <c r="C133" s="106"/>
      <c r="D133" s="106"/>
      <c r="E133" s="106"/>
      <c r="F133" s="106"/>
      <c r="G133" s="106">
        <v>-83.296000000000006</v>
      </c>
      <c r="H133" s="106">
        <v>-0.59499999999999997</v>
      </c>
      <c r="I133" s="94">
        <f>SUM(C133:H133)</f>
        <v>-83.891000000000005</v>
      </c>
      <c r="J133" s="163"/>
      <c r="K133" s="163"/>
      <c r="L133" s="163"/>
      <c r="M133" s="4" t="s">
        <v>372</v>
      </c>
      <c r="N133" s="4" t="s">
        <v>185</v>
      </c>
      <c r="O133" s="4" t="s">
        <v>595</v>
      </c>
    </row>
    <row r="134" spans="1:15">
      <c r="A134" s="10" t="str">
        <f t="shared" si="6"/>
        <v>Oma pääoma  31.12.2005</v>
      </c>
      <c r="B134" s="5">
        <f t="shared" ref="B134:I134" si="8">SUM(B132:B133)+B131+B120</f>
        <v>329.375</v>
      </c>
      <c r="C134" s="5">
        <f t="shared" si="8"/>
        <v>329.375</v>
      </c>
      <c r="D134" s="5">
        <f t="shared" si="8"/>
        <v>44.021000000000001</v>
      </c>
      <c r="E134" s="5">
        <f t="shared" si="8"/>
        <v>6.9939999999999998</v>
      </c>
      <c r="F134" s="5">
        <f t="shared" si="8"/>
        <v>146.928</v>
      </c>
      <c r="G134" s="5">
        <f t="shared" si="8"/>
        <v>625.82899999999995</v>
      </c>
      <c r="H134" s="5">
        <f t="shared" si="8"/>
        <v>9.81</v>
      </c>
      <c r="I134" s="37">
        <f t="shared" si="8"/>
        <v>1162.9569999999999</v>
      </c>
      <c r="J134" s="37"/>
      <c r="K134" s="37"/>
      <c r="L134" s="37"/>
      <c r="M134" s="4" t="s">
        <v>551</v>
      </c>
      <c r="N134" s="4" t="s">
        <v>553</v>
      </c>
      <c r="O134" s="4" t="s">
        <v>552</v>
      </c>
    </row>
    <row r="135" spans="1:15">
      <c r="A135" s="10"/>
      <c r="B135" s="16"/>
      <c r="C135" s="16"/>
      <c r="D135" s="16"/>
      <c r="E135" s="16"/>
      <c r="F135" s="3"/>
      <c r="G135" s="16"/>
      <c r="H135" s="3"/>
      <c r="I135" s="37"/>
      <c r="J135" s="37"/>
      <c r="K135" s="37"/>
      <c r="L135" s="37"/>
      <c r="M135" s="4"/>
      <c r="N135" s="4"/>
      <c r="O135" s="4"/>
    </row>
    <row r="136" spans="1:15">
      <c r="A136" s="6" t="str">
        <f t="shared" ref="A136:A147" si="9">+IF($E$1=1,M136,IF($E$1=2,N136,O136))</f>
        <v>Muuntoerot</v>
      </c>
      <c r="B136" s="8"/>
      <c r="C136" s="8"/>
      <c r="D136" s="8"/>
      <c r="E136" s="201">
        <f>-2.404-0.365+0.092+2.743+0.687+0.002</f>
        <v>0.75499999999999989</v>
      </c>
      <c r="F136" s="199"/>
      <c r="G136" s="199"/>
      <c r="H136" s="201">
        <f>-0.18-0.015</f>
        <v>-0.19500000000000001</v>
      </c>
      <c r="I136" s="81">
        <f>SUM(C136:H136)</f>
        <v>0.55999999999999983</v>
      </c>
      <c r="J136" s="81"/>
      <c r="K136" s="81"/>
      <c r="L136" s="81"/>
      <c r="M136" s="4" t="s">
        <v>371</v>
      </c>
      <c r="N136" s="4" t="s">
        <v>370</v>
      </c>
      <c r="O136" s="4" t="s">
        <v>369</v>
      </c>
    </row>
    <row r="137" spans="1:15">
      <c r="A137" s="6" t="str">
        <f t="shared" si="9"/>
        <v>Muut muutokset</v>
      </c>
      <c r="B137" s="8"/>
      <c r="C137" s="8"/>
      <c r="D137" s="8"/>
      <c r="E137" s="8"/>
      <c r="F137" s="200"/>
      <c r="G137" s="8"/>
      <c r="H137" s="200"/>
      <c r="I137" s="81">
        <f>SUM(C137:H137)</f>
        <v>0</v>
      </c>
      <c r="J137" s="81"/>
      <c r="K137" s="81"/>
      <c r="L137" s="81"/>
      <c r="M137" s="4" t="s">
        <v>667</v>
      </c>
      <c r="N137" s="4" t="s">
        <v>640</v>
      </c>
      <c r="O137" s="4" t="s">
        <v>668</v>
      </c>
    </row>
    <row r="138" spans="1:15">
      <c r="A138" s="6" t="str">
        <f t="shared" si="9"/>
        <v>Myytävissä olevien sijoitusten</v>
      </c>
      <c r="B138" s="8"/>
      <c r="C138" s="8"/>
      <c r="D138" s="8"/>
      <c r="E138" s="8"/>
      <c r="F138" s="200"/>
      <c r="G138" s="8"/>
      <c r="H138" s="200"/>
      <c r="I138" s="81"/>
      <c r="J138" s="81"/>
      <c r="K138" s="81"/>
      <c r="L138" s="81"/>
      <c r="M138" s="4" t="s">
        <v>439</v>
      </c>
      <c r="N138" s="4" t="s">
        <v>440</v>
      </c>
      <c r="O138" s="4" t="s">
        <v>441</v>
      </c>
    </row>
    <row r="139" spans="1:15">
      <c r="A139" s="6" t="str">
        <f t="shared" si="9"/>
        <v xml:space="preserve">   arvonmuutokset verojen jälkeen</v>
      </c>
      <c r="B139" s="8"/>
      <c r="C139" s="8"/>
      <c r="D139" s="8"/>
      <c r="E139" s="8"/>
      <c r="F139" s="202">
        <v>29.408000000000001</v>
      </c>
      <c r="G139" s="8"/>
      <c r="H139" s="200"/>
      <c r="I139" s="81">
        <f t="shared" ref="I139:I144" si="10">SUM(C139:H139)</f>
        <v>29.408000000000001</v>
      </c>
      <c r="J139" s="81"/>
      <c r="K139" s="81"/>
      <c r="L139" s="81"/>
      <c r="M139" s="4" t="s">
        <v>442</v>
      </c>
      <c r="N139" s="4" t="s">
        <v>661</v>
      </c>
      <c r="O139" s="4" t="s">
        <v>175</v>
      </c>
    </row>
    <row r="140" spans="1:15">
      <c r="A140" s="6" t="str">
        <f t="shared" si="9"/>
        <v xml:space="preserve">   siirretty tuloslaskelmaan, veroilla vähennettynä</v>
      </c>
      <c r="B140" s="8"/>
      <c r="C140" s="8"/>
      <c r="D140" s="8"/>
      <c r="E140" s="8"/>
      <c r="F140" s="200"/>
      <c r="G140" s="8"/>
      <c r="H140" s="200"/>
      <c r="I140" s="81">
        <f t="shared" si="10"/>
        <v>0</v>
      </c>
      <c r="J140" s="81"/>
      <c r="K140" s="81"/>
      <c r="L140" s="81"/>
      <c r="M140" s="4" t="s">
        <v>443</v>
      </c>
      <c r="N140" s="4" t="s">
        <v>708</v>
      </c>
      <c r="O140" s="4" t="s">
        <v>444</v>
      </c>
    </row>
    <row r="141" spans="1:15">
      <c r="A141" s="85" t="str">
        <f t="shared" si="9"/>
        <v>Rahavirran suojaukset verojen jälkeen</v>
      </c>
      <c r="B141" s="106"/>
      <c r="C141" s="106"/>
      <c r="D141" s="106"/>
      <c r="E141" s="106"/>
      <c r="F141" s="203">
        <v>10</v>
      </c>
      <c r="G141" s="106"/>
      <c r="H141" s="106"/>
      <c r="I141" s="94">
        <f t="shared" si="10"/>
        <v>10</v>
      </c>
      <c r="J141" s="163"/>
      <c r="K141" s="163"/>
      <c r="L141" s="163"/>
      <c r="M141" s="4" t="s">
        <v>70</v>
      </c>
      <c r="N141" s="4" t="s">
        <v>248</v>
      </c>
      <c r="O141" s="4" t="s">
        <v>71</v>
      </c>
    </row>
    <row r="142" spans="1:15">
      <c r="A142" s="10" t="str">
        <f t="shared" si="9"/>
        <v>Suoraan omaan pääomaan kirjatut nettotuotot</v>
      </c>
      <c r="B142" s="8"/>
      <c r="C142" s="8"/>
      <c r="D142" s="8"/>
      <c r="E142" s="8">
        <f>SUM(E136:E141)</f>
        <v>0.75499999999999989</v>
      </c>
      <c r="F142" s="8">
        <f>SUM(F136:F141)</f>
        <v>39.408000000000001</v>
      </c>
      <c r="G142" s="8">
        <f>SUM(G136:G141)</f>
        <v>0</v>
      </c>
      <c r="H142" s="8">
        <f>SUM(H136:H141)</f>
        <v>-0.19500000000000001</v>
      </c>
      <c r="I142" s="81">
        <f t="shared" si="10"/>
        <v>39.968000000000004</v>
      </c>
      <c r="J142" s="81"/>
      <c r="K142" s="81"/>
      <c r="L142" s="81"/>
      <c r="M142" s="4" t="s">
        <v>446</v>
      </c>
      <c r="N142" s="4" t="s">
        <v>485</v>
      </c>
      <c r="O142" s="4" t="s">
        <v>486</v>
      </c>
    </row>
    <row r="143" spans="1:15">
      <c r="A143" s="85" t="str">
        <f t="shared" si="9"/>
        <v>Tilikauden tulos</v>
      </c>
      <c r="B143" s="106"/>
      <c r="C143" s="106"/>
      <c r="D143" s="106"/>
      <c r="E143" s="106"/>
      <c r="F143" s="106"/>
      <c r="G143" s="106">
        <f>C23</f>
        <v>52.17</v>
      </c>
      <c r="H143" s="106">
        <f>C24</f>
        <v>-1.7000000000000001E-2</v>
      </c>
      <c r="I143" s="94">
        <f t="shared" si="10"/>
        <v>52.152999999999999</v>
      </c>
      <c r="J143" s="163"/>
      <c r="K143" s="163"/>
      <c r="L143" s="163"/>
      <c r="M143" s="4" t="s">
        <v>587</v>
      </c>
      <c r="N143" s="4" t="s">
        <v>487</v>
      </c>
      <c r="O143" s="4" t="s">
        <v>518</v>
      </c>
    </row>
    <row r="144" spans="1:15">
      <c r="A144" s="10" t="str">
        <f t="shared" si="9"/>
        <v>Kaudelle kirjatut tuotot ja kulut yhteensä</v>
      </c>
      <c r="B144" s="8"/>
      <c r="C144" s="8"/>
      <c r="D144" s="8"/>
      <c r="E144" s="8">
        <f>SUM(E142:E143)</f>
        <v>0.75499999999999989</v>
      </c>
      <c r="F144" s="8">
        <f>SUM(F142:F143)</f>
        <v>39.408000000000001</v>
      </c>
      <c r="G144" s="8">
        <f>SUM(G142:G143)</f>
        <v>52.17</v>
      </c>
      <c r="H144" s="8">
        <f>SUM(H142:H143)</f>
        <v>-0.21200000000000002</v>
      </c>
      <c r="I144" s="81">
        <f t="shared" si="10"/>
        <v>92.120999999999995</v>
      </c>
      <c r="J144" s="81"/>
      <c r="K144" s="81"/>
      <c r="L144" s="81"/>
      <c r="M144" s="4" t="s">
        <v>829</v>
      </c>
      <c r="N144" s="4" t="s">
        <v>546</v>
      </c>
      <c r="O144" s="4" t="s">
        <v>547</v>
      </c>
    </row>
    <row r="145" spans="1:33">
      <c r="A145" s="6" t="str">
        <f t="shared" si="9"/>
        <v>Käytetyt optio-oikeudet</v>
      </c>
      <c r="B145" s="204">
        <v>3.6999999999999998E-2</v>
      </c>
      <c r="C145" s="204">
        <v>3.6999999999999998E-2</v>
      </c>
      <c r="D145" s="204">
        <v>0.129</v>
      </c>
      <c r="E145" s="24"/>
      <c r="F145" s="157"/>
      <c r="G145" s="24"/>
      <c r="H145" s="74"/>
      <c r="I145" s="81">
        <f>SUM(C145:G145)</f>
        <v>0.16600000000000001</v>
      </c>
      <c r="J145" s="81"/>
      <c r="K145" s="81"/>
      <c r="L145" s="81"/>
      <c r="M145" s="4" t="s">
        <v>560</v>
      </c>
      <c r="N145" s="4" t="s">
        <v>549</v>
      </c>
      <c r="O145" s="4" t="s">
        <v>550</v>
      </c>
    </row>
    <row r="146" spans="1:33">
      <c r="A146" s="85" t="str">
        <f t="shared" si="9"/>
        <v>Maksetut osingot</v>
      </c>
      <c r="B146" s="158"/>
      <c r="C146" s="158"/>
      <c r="D146" s="158"/>
      <c r="E146" s="158"/>
      <c r="F146" s="158"/>
      <c r="G146" s="203">
        <v>-141.161</v>
      </c>
      <c r="H146" s="106"/>
      <c r="I146" s="94">
        <f>SUM(C146:H146)</f>
        <v>-141.161</v>
      </c>
      <c r="J146" s="163"/>
      <c r="K146" s="163"/>
      <c r="L146" s="163"/>
      <c r="M146" s="4" t="s">
        <v>372</v>
      </c>
      <c r="N146" s="4" t="s">
        <v>185</v>
      </c>
      <c r="O146" s="4" t="s">
        <v>595</v>
      </c>
    </row>
    <row r="147" spans="1:33">
      <c r="A147" s="86" t="str">
        <f t="shared" si="9"/>
        <v>Oma pääoma 30.06.2006</v>
      </c>
      <c r="B147" s="122">
        <f t="shared" ref="B147:I147" si="11">SUM(B145:B146)+B144+B134</f>
        <v>329.41199999999998</v>
      </c>
      <c r="C147" s="122">
        <f t="shared" si="11"/>
        <v>329.41199999999998</v>
      </c>
      <c r="D147" s="122">
        <f t="shared" si="11"/>
        <v>44.15</v>
      </c>
      <c r="E147" s="122">
        <f t="shared" si="11"/>
        <v>7.7489999999999997</v>
      </c>
      <c r="F147" s="122">
        <f t="shared" si="11"/>
        <v>186.33600000000001</v>
      </c>
      <c r="G147" s="122">
        <f t="shared" si="11"/>
        <v>536.83799999999997</v>
      </c>
      <c r="H147" s="122">
        <f t="shared" si="11"/>
        <v>9.5980000000000008</v>
      </c>
      <c r="I147" s="137">
        <f t="shared" si="11"/>
        <v>1114.0829999999999</v>
      </c>
      <c r="J147" s="163"/>
      <c r="K147" s="163"/>
      <c r="L147" s="163"/>
      <c r="M147" s="4" t="s">
        <v>246</v>
      </c>
      <c r="N147" s="4" t="s">
        <v>247</v>
      </c>
      <c r="O147" s="4" t="s">
        <v>674</v>
      </c>
    </row>
    <row r="148" spans="1:33">
      <c r="I148" s="78">
        <f>1104.472+9.632-I147</f>
        <v>2.1000000000185537E-2</v>
      </c>
      <c r="J148" s="78"/>
      <c r="K148" s="78"/>
      <c r="L148" s="78"/>
    </row>
    <row r="150" spans="1:33">
      <c r="A150" s="10" t="str">
        <f>+IF($E$1=1,M150,IF($E$1=2,N150,O150))</f>
        <v>Liiketoimintasegmentit 1-6/2006</v>
      </c>
      <c r="M150" s="4" t="s">
        <v>212</v>
      </c>
      <c r="N150" s="4" t="s">
        <v>320</v>
      </c>
      <c r="O150" s="4" t="s">
        <v>259</v>
      </c>
      <c r="R150" s="141" t="s">
        <v>418</v>
      </c>
      <c r="S150" s="141" t="s">
        <v>420</v>
      </c>
      <c r="T150" s="141" t="s">
        <v>69</v>
      </c>
      <c r="U150" s="140" t="s">
        <v>350</v>
      </c>
      <c r="V150" s="141" t="s">
        <v>161</v>
      </c>
      <c r="W150" s="165" t="s">
        <v>249</v>
      </c>
      <c r="X150" s="141" t="s">
        <v>420</v>
      </c>
      <c r="Y150" s="165" t="s">
        <v>250</v>
      </c>
      <c r="Z150" s="140" t="s">
        <v>251</v>
      </c>
      <c r="AA150" s="165" t="s">
        <v>252</v>
      </c>
      <c r="AB150" s="165" t="s">
        <v>249</v>
      </c>
      <c r="AC150" s="141" t="s">
        <v>420</v>
      </c>
      <c r="AD150" s="165" t="s">
        <v>253</v>
      </c>
      <c r="AE150" s="142" t="s">
        <v>254</v>
      </c>
      <c r="AF150" s="165" t="s">
        <v>163</v>
      </c>
      <c r="AG150" s="47"/>
    </row>
    <row r="151" spans="1:33">
      <c r="A151" s="10"/>
      <c r="B151" s="46" t="s">
        <v>418</v>
      </c>
      <c r="C151" s="46" t="s">
        <v>418</v>
      </c>
      <c r="D151" s="46" t="s">
        <v>420</v>
      </c>
      <c r="E151" s="46" t="s">
        <v>69</v>
      </c>
      <c r="F151" s="46" t="s">
        <v>350</v>
      </c>
      <c r="G151" s="46" t="s">
        <v>161</v>
      </c>
      <c r="M151" s="4"/>
      <c r="N151" s="4"/>
      <c r="O151" s="4"/>
      <c r="R151" s="141" t="s">
        <v>419</v>
      </c>
      <c r="S151" s="141" t="s">
        <v>421</v>
      </c>
      <c r="T151" s="47"/>
      <c r="U151" s="140" t="s">
        <v>351</v>
      </c>
      <c r="V151" s="140"/>
      <c r="W151" s="47" t="s">
        <v>255</v>
      </c>
      <c r="X151" s="141" t="s">
        <v>421</v>
      </c>
      <c r="Y151" s="47"/>
      <c r="Z151" s="140"/>
      <c r="AA151" s="47"/>
      <c r="AB151" s="47" t="s">
        <v>256</v>
      </c>
      <c r="AC151" s="141" t="s">
        <v>421</v>
      </c>
      <c r="AD151" s="47"/>
      <c r="AE151" s="47"/>
      <c r="AF151" s="47"/>
      <c r="AG151" s="47"/>
    </row>
    <row r="152" spans="1:33">
      <c r="A152" s="91" t="str">
        <f t="shared" ref="A152:A158" si="12">+IF($E$1=1,M152,IF($E$1=2,N152,O152))</f>
        <v>MEUR</v>
      </c>
      <c r="B152" s="109" t="s">
        <v>419</v>
      </c>
      <c r="C152" s="109" t="s">
        <v>419</v>
      </c>
      <c r="D152" s="109" t="s">
        <v>421</v>
      </c>
      <c r="E152" s="109"/>
      <c r="F152" s="109" t="s">
        <v>351</v>
      </c>
      <c r="G152" s="108"/>
      <c r="H152" s="4"/>
      <c r="I152" s="4"/>
      <c r="J152" s="4"/>
      <c r="K152" s="4"/>
      <c r="L152" s="4"/>
      <c r="M152" s="2" t="s">
        <v>700</v>
      </c>
      <c r="N152" s="2" t="s">
        <v>700</v>
      </c>
      <c r="O152" s="2" t="s">
        <v>700</v>
      </c>
    </row>
    <row r="153" spans="1:33">
      <c r="A153" s="6" t="str">
        <f t="shared" si="12"/>
        <v>Liikevaihto</v>
      </c>
      <c r="B153" s="81" t="e">
        <f ca="1">+B10</f>
        <v>#NAME?</v>
      </c>
      <c r="C153" s="81">
        <f>+C10</f>
        <v>591.90800000000002</v>
      </c>
      <c r="D153" s="73"/>
      <c r="E153" s="73"/>
      <c r="F153" s="73"/>
      <c r="G153" s="81" t="e">
        <f ca="1">+B10</f>
        <v>#NAME?</v>
      </c>
      <c r="H153" s="11"/>
      <c r="I153" s="5"/>
      <c r="J153" s="5"/>
      <c r="K153" s="5"/>
      <c r="L153" s="5"/>
      <c r="M153" s="6" t="s">
        <v>583</v>
      </c>
      <c r="N153" s="2" t="s">
        <v>501</v>
      </c>
      <c r="O153" s="6" t="s">
        <v>151</v>
      </c>
    </row>
    <row r="154" spans="1:33">
      <c r="A154" s="6" t="str">
        <f t="shared" si="12"/>
        <v>Liiketulos</v>
      </c>
      <c r="B154" s="81" t="e">
        <f ca="1">+B14</f>
        <v>#NAME?</v>
      </c>
      <c r="C154" s="81">
        <f>+C14</f>
        <v>35.920000000000059</v>
      </c>
      <c r="D154" s="73"/>
      <c r="E154" s="73"/>
      <c r="F154" s="73"/>
      <c r="G154" s="81" t="e">
        <f ca="1">+B14</f>
        <v>#NAME?</v>
      </c>
      <c r="H154" s="11"/>
      <c r="I154" s="5"/>
      <c r="J154" s="5"/>
      <c r="K154" s="5"/>
      <c r="L154" s="5"/>
      <c r="M154" s="6" t="s">
        <v>796</v>
      </c>
      <c r="N154" s="2" t="s">
        <v>191</v>
      </c>
      <c r="O154" s="6" t="s">
        <v>519</v>
      </c>
    </row>
    <row r="155" spans="1:33">
      <c r="A155" s="6" t="str">
        <f t="shared" si="12"/>
        <v>Rahoitustuotot ja kulut sekä osingot</v>
      </c>
      <c r="B155" s="81"/>
      <c r="C155" s="81"/>
      <c r="D155" s="73"/>
      <c r="E155" s="73"/>
      <c r="F155" s="73" t="e">
        <f ca="1">+G155-D155-C155-E155</f>
        <v>#NAME?</v>
      </c>
      <c r="G155" s="81" t="e">
        <f ca="1">+B15</f>
        <v>#NAME?</v>
      </c>
      <c r="H155" s="11"/>
      <c r="I155" s="5"/>
      <c r="J155" s="5"/>
      <c r="K155" s="5"/>
      <c r="L155" s="5"/>
      <c r="M155" s="6" t="s">
        <v>352</v>
      </c>
      <c r="N155" s="2" t="s">
        <v>354</v>
      </c>
      <c r="O155" s="2" t="s">
        <v>353</v>
      </c>
    </row>
    <row r="156" spans="1:33">
      <c r="A156" s="6" t="str">
        <f t="shared" si="12"/>
        <v>Nettovoitot myytävissä olevista sijoituksista</v>
      </c>
      <c r="B156" s="81"/>
      <c r="C156" s="81"/>
      <c r="D156" s="73"/>
      <c r="E156" s="73"/>
      <c r="F156" s="73" t="e">
        <f ca="1">+G156-D156-C156-E156</f>
        <v>#NAME?</v>
      </c>
      <c r="G156" s="81" t="e">
        <f ca="1">+B16</f>
        <v>#NAME?</v>
      </c>
      <c r="H156" s="11"/>
      <c r="I156" s="5"/>
      <c r="J156" s="5"/>
      <c r="K156" s="5"/>
      <c r="L156" s="5"/>
      <c r="M156" s="6" t="str">
        <f>+M$16</f>
        <v>Nettovoitot myytävissä olevista sijoituksista</v>
      </c>
      <c r="N156" s="6" t="str">
        <f>+N$16</f>
        <v>Net income from assets available for sale</v>
      </c>
      <c r="O156" s="6" t="str">
        <f>+O$16</f>
        <v>Nettovinst på tillgångar som kan säljas</v>
      </c>
    </row>
    <row r="157" spans="1:33">
      <c r="A157" s="85" t="str">
        <f t="shared" si="12"/>
        <v>Osuus osakkuusyhtiöiden tuloksesta</v>
      </c>
      <c r="B157" s="94"/>
      <c r="C157" s="94"/>
      <c r="D157" s="77"/>
      <c r="E157" s="77" t="e">
        <f ca="1">+G157-C157-B157-D157-F157</f>
        <v>#NAME?</v>
      </c>
      <c r="F157" s="77"/>
      <c r="G157" s="162" t="e">
        <f ca="1">B17</f>
        <v>#NAME?</v>
      </c>
      <c r="H157" s="11"/>
      <c r="I157" s="5"/>
      <c r="J157" s="5"/>
      <c r="K157" s="5"/>
      <c r="L157" s="5"/>
      <c r="M157" s="6" t="str">
        <f>+M$17</f>
        <v>Osuus osakkuusyhtiöiden tuloksesta</v>
      </c>
      <c r="N157" s="6" t="str">
        <f>+N$17</f>
        <v>Share of profit of associates</v>
      </c>
      <c r="O157" s="6" t="str">
        <f>+O$17</f>
        <v>Resultatandel i intresseföretag</v>
      </c>
    </row>
    <row r="158" spans="1:33">
      <c r="A158" s="6" t="str">
        <f t="shared" si="12"/>
        <v>Tulos ennen veroja</v>
      </c>
      <c r="B158" s="81"/>
      <c r="C158" s="81"/>
      <c r="D158" s="73"/>
      <c r="E158" s="73"/>
      <c r="F158" s="73"/>
      <c r="G158" s="81" t="e">
        <f ca="1">+B18</f>
        <v>#NAME?</v>
      </c>
      <c r="H158" s="11"/>
      <c r="I158" s="5"/>
      <c r="J158" s="5"/>
      <c r="K158" s="5"/>
      <c r="L158" s="5"/>
      <c r="M158" s="6" t="str">
        <f>+M$18</f>
        <v>Tulos ennen veroja</v>
      </c>
      <c r="N158" s="6" t="str">
        <f>+N$18</f>
        <v>Profit before taxes</v>
      </c>
      <c r="O158" s="6" t="str">
        <f>+O$18</f>
        <v>Resultat före skatter</v>
      </c>
    </row>
    <row r="159" spans="1:33">
      <c r="A159" s="6"/>
      <c r="B159" s="81"/>
      <c r="C159" s="81"/>
      <c r="D159" s="73"/>
      <c r="E159" s="73"/>
      <c r="F159" s="73"/>
      <c r="G159" s="81"/>
      <c r="H159" s="11"/>
      <c r="I159" s="4"/>
      <c r="J159" s="4"/>
      <c r="K159" s="4"/>
      <c r="L159" s="4"/>
      <c r="M159" s="6"/>
      <c r="N159" s="6"/>
      <c r="O159" s="6"/>
    </row>
    <row r="160" spans="1:33">
      <c r="A160" s="6" t="str">
        <f>+IF($E$1=1,M160,IF($E$1=2,N160,O160))</f>
        <v>Varat</v>
      </c>
      <c r="B160" s="81">
        <f>+F160-E160-D160</f>
        <v>-321.64699999999999</v>
      </c>
      <c r="C160" s="81"/>
      <c r="D160" s="73"/>
      <c r="E160" s="160">
        <f>302.473+20.889+113.441</f>
        <v>436.803</v>
      </c>
      <c r="F160" s="160">
        <f>78.361+10.015+8.537+18.243</f>
        <v>115.15600000000001</v>
      </c>
      <c r="G160" s="159" t="e">
        <f ca="1">+B49</f>
        <v>#NAME?</v>
      </c>
      <c r="H160" s="11"/>
      <c r="I160" s="4"/>
      <c r="J160" s="4"/>
      <c r="K160" s="4"/>
      <c r="L160" s="4"/>
      <c r="M160" s="6" t="s">
        <v>533</v>
      </c>
      <c r="N160" s="2" t="s">
        <v>534</v>
      </c>
      <c r="O160" s="2" t="s">
        <v>284</v>
      </c>
    </row>
    <row r="161" spans="1:33">
      <c r="A161" s="6" t="str">
        <f>+IF($E$1=1,M161,IF($E$1=2,N161,O161))</f>
        <v>Velat</v>
      </c>
      <c r="B161" s="81">
        <f>+F161-E161-D161</f>
        <v>108.401</v>
      </c>
      <c r="C161" s="81"/>
      <c r="D161" s="73"/>
      <c r="E161" s="73"/>
      <c r="F161" s="160">
        <f>90.167+3.36+14.874</f>
        <v>108.401</v>
      </c>
      <c r="G161" s="81" t="e">
        <f ca="1">B70</f>
        <v>#NAME?</v>
      </c>
      <c r="H161" s="11"/>
      <c r="I161" s="4"/>
      <c r="J161" s="4"/>
      <c r="K161" s="4"/>
      <c r="L161" s="4"/>
      <c r="M161" s="6" t="s">
        <v>355</v>
      </c>
      <c r="N161" s="2" t="s">
        <v>356</v>
      </c>
      <c r="O161" s="2" t="s">
        <v>358</v>
      </c>
    </row>
    <row r="162" spans="1:33">
      <c r="A162" s="6" t="str">
        <f>+IF($E$1=1,M162,IF($E$1=2,N162,O162))</f>
        <v>Investoinnit</v>
      </c>
      <c r="B162" s="159">
        <f>-(B93)</f>
        <v>29.448000000000015</v>
      </c>
      <c r="C162" s="159"/>
      <c r="D162" s="73"/>
      <c r="E162" s="73"/>
      <c r="F162" s="73"/>
      <c r="G162" s="159">
        <v>40.014000000000003</v>
      </c>
      <c r="H162" s="11"/>
      <c r="I162" s="4"/>
      <c r="J162" s="4"/>
      <c r="K162" s="4"/>
      <c r="L162" s="4"/>
      <c r="M162" s="6" t="s">
        <v>129</v>
      </c>
      <c r="N162" s="2" t="s">
        <v>357</v>
      </c>
      <c r="O162" s="2" t="s">
        <v>359</v>
      </c>
    </row>
    <row r="163" spans="1:33">
      <c r="A163" s="6" t="str">
        <f>+IF($E$1=1,M163,IF($E$1=2,N163,O163))</f>
        <v>Poistot ja arvonalentumiset</v>
      </c>
      <c r="B163" s="81" t="e">
        <f ca="1">B13</f>
        <v>#NAME?</v>
      </c>
      <c r="C163" s="81">
        <f>C13</f>
        <v>-17.616</v>
      </c>
      <c r="D163" s="73"/>
      <c r="E163" s="73"/>
      <c r="F163" s="73" t="e">
        <f ca="1">+G163-D163-C163</f>
        <v>#NAME?</v>
      </c>
      <c r="G163" s="81" t="e">
        <f ca="1">B13</f>
        <v>#NAME?</v>
      </c>
      <c r="H163" s="11"/>
      <c r="I163" s="4"/>
      <c r="J163" s="4"/>
      <c r="K163" s="4"/>
      <c r="L163" s="4"/>
      <c r="M163" s="6" t="s">
        <v>593</v>
      </c>
      <c r="N163" s="2" t="s">
        <v>504</v>
      </c>
      <c r="O163" s="6" t="s">
        <v>594</v>
      </c>
    </row>
    <row r="166" spans="1:33">
      <c r="A166" s="10" t="str">
        <f>+IF($E$1=1,M166,IF($E$1=2,N166,O166))</f>
        <v>Liiketoimintasegmentit 1-6/2005</v>
      </c>
      <c r="M166" s="4" t="s">
        <v>675</v>
      </c>
      <c r="N166" s="4" t="s">
        <v>676</v>
      </c>
      <c r="O166" s="4" t="s">
        <v>211</v>
      </c>
      <c r="R166" s="141" t="s">
        <v>418</v>
      </c>
      <c r="S166" s="141" t="s">
        <v>420</v>
      </c>
      <c r="T166" s="141" t="s">
        <v>69</v>
      </c>
      <c r="U166" s="140" t="s">
        <v>350</v>
      </c>
      <c r="V166" s="141" t="s">
        <v>161</v>
      </c>
      <c r="W166" s="165" t="s">
        <v>249</v>
      </c>
      <c r="X166" s="141" t="s">
        <v>420</v>
      </c>
      <c r="Y166" s="165" t="s">
        <v>250</v>
      </c>
      <c r="Z166" s="140" t="s">
        <v>251</v>
      </c>
      <c r="AA166" s="165" t="s">
        <v>252</v>
      </c>
      <c r="AB166" s="165" t="s">
        <v>249</v>
      </c>
      <c r="AC166" s="141" t="s">
        <v>420</v>
      </c>
      <c r="AD166" s="165" t="s">
        <v>253</v>
      </c>
      <c r="AE166" s="142" t="s">
        <v>254</v>
      </c>
      <c r="AF166" s="165" t="s">
        <v>163</v>
      </c>
      <c r="AG166" s="47"/>
    </row>
    <row r="167" spans="1:33">
      <c r="A167" s="10"/>
      <c r="B167" s="46" t="s">
        <v>418</v>
      </c>
      <c r="C167" s="46" t="s">
        <v>418</v>
      </c>
      <c r="D167" s="46" t="s">
        <v>420</v>
      </c>
      <c r="E167" s="46" t="s">
        <v>69</v>
      </c>
      <c r="F167" s="46" t="s">
        <v>350</v>
      </c>
      <c r="G167" s="46" t="s">
        <v>161</v>
      </c>
      <c r="M167" s="4"/>
      <c r="N167" s="4"/>
      <c r="O167" s="4"/>
      <c r="R167" s="141" t="s">
        <v>419</v>
      </c>
      <c r="S167" s="141" t="s">
        <v>421</v>
      </c>
      <c r="T167" s="47"/>
      <c r="U167" s="140" t="s">
        <v>351</v>
      </c>
      <c r="V167" s="140"/>
      <c r="W167" s="47" t="s">
        <v>255</v>
      </c>
      <c r="X167" s="141" t="s">
        <v>421</v>
      </c>
      <c r="Y167" s="47"/>
      <c r="Z167" s="140"/>
      <c r="AA167" s="47"/>
      <c r="AB167" s="47" t="s">
        <v>256</v>
      </c>
      <c r="AC167" s="141" t="s">
        <v>421</v>
      </c>
      <c r="AD167" s="47"/>
      <c r="AE167" s="47"/>
      <c r="AF167" s="47"/>
      <c r="AG167" s="47"/>
    </row>
    <row r="168" spans="1:33">
      <c r="A168" s="91" t="str">
        <f t="shared" ref="A168:A174" si="13">+IF($E$1=1,M168,IF($E$1=2,N168,O168))</f>
        <v>MEUR</v>
      </c>
      <c r="B168" s="109" t="s">
        <v>419</v>
      </c>
      <c r="C168" s="109" t="s">
        <v>419</v>
      </c>
      <c r="D168" s="109" t="s">
        <v>421</v>
      </c>
      <c r="E168" s="109"/>
      <c r="F168" s="109" t="s">
        <v>351</v>
      </c>
      <c r="G168" s="108"/>
      <c r="H168" s="4"/>
      <c r="I168" s="4"/>
      <c r="J168" s="4"/>
      <c r="K168" s="4"/>
      <c r="L168" s="4"/>
      <c r="M168" s="2" t="s">
        <v>700</v>
      </c>
      <c r="N168" s="2" t="s">
        <v>700</v>
      </c>
      <c r="O168" s="2" t="s">
        <v>700</v>
      </c>
    </row>
    <row r="169" spans="1:33">
      <c r="A169" s="6" t="str">
        <f t="shared" si="13"/>
        <v>Liikevaihto</v>
      </c>
      <c r="B169" s="37">
        <v>1138.9780000000001</v>
      </c>
      <c r="C169" s="37">
        <v>1138.9780000000001</v>
      </c>
      <c r="D169" s="36">
        <v>118.96299999999999</v>
      </c>
      <c r="E169" s="36"/>
      <c r="F169" s="36">
        <f>+G169-D169-C169-E169</f>
        <v>-0.47800000000006548</v>
      </c>
      <c r="G169" s="37">
        <f>+D10</f>
        <v>1257.463</v>
      </c>
      <c r="H169" s="11"/>
      <c r="I169" s="5"/>
      <c r="J169" s="5"/>
      <c r="K169" s="5"/>
      <c r="L169" s="5"/>
      <c r="M169" s="6" t="s">
        <v>583</v>
      </c>
      <c r="N169" s="2" t="s">
        <v>501</v>
      </c>
      <c r="O169" s="6" t="s">
        <v>151</v>
      </c>
    </row>
    <row r="170" spans="1:33">
      <c r="A170" s="6" t="str">
        <f t="shared" si="13"/>
        <v>Liiketulos</v>
      </c>
      <c r="B170" s="37">
        <v>72.861000000000004</v>
      </c>
      <c r="C170" s="37">
        <v>72.861000000000004</v>
      </c>
      <c r="D170" s="36">
        <v>21.873999999999999</v>
      </c>
      <c r="E170" s="36"/>
      <c r="F170" s="36">
        <f>+G170-D170-C170-E170</f>
        <v>3.6999999999963507E-2</v>
      </c>
      <c r="G170" s="37">
        <f>+D14</f>
        <v>94.771999999999963</v>
      </c>
      <c r="H170" s="11"/>
      <c r="I170" s="5"/>
      <c r="J170" s="5"/>
      <c r="K170" s="5"/>
      <c r="L170" s="5"/>
      <c r="M170" s="6" t="s">
        <v>796</v>
      </c>
      <c r="N170" s="2" t="s">
        <v>191</v>
      </c>
      <c r="O170" s="6" t="s">
        <v>519</v>
      </c>
    </row>
    <row r="171" spans="1:33">
      <c r="A171" s="6" t="str">
        <f t="shared" si="13"/>
        <v>Rahoitustuotot ja kulut sekä osingot</v>
      </c>
      <c r="B171" s="37"/>
      <c r="C171" s="37"/>
      <c r="D171" s="36"/>
      <c r="E171" s="36"/>
      <c r="F171" s="36">
        <f>+G171-D171-C171-E171</f>
        <v>-9.4480000000000004</v>
      </c>
      <c r="G171" s="37">
        <f>+D15</f>
        <v>-9.4480000000000004</v>
      </c>
      <c r="H171" s="11"/>
      <c r="I171" s="5"/>
      <c r="J171" s="5"/>
      <c r="K171" s="5"/>
      <c r="L171" s="5"/>
      <c r="M171" s="6" t="s">
        <v>352</v>
      </c>
      <c r="N171" s="2" t="s">
        <v>354</v>
      </c>
      <c r="O171" s="2" t="s">
        <v>353</v>
      </c>
    </row>
    <row r="172" spans="1:33">
      <c r="A172" s="6" t="str">
        <f t="shared" si="13"/>
        <v>Nettovoitot myytävissä olevista sijoituksista</v>
      </c>
      <c r="B172" s="37"/>
      <c r="C172" s="37"/>
      <c r="D172" s="36"/>
      <c r="E172" s="36"/>
      <c r="F172" s="36"/>
      <c r="G172" s="37"/>
      <c r="H172" s="11"/>
      <c r="I172" s="5"/>
      <c r="J172" s="5"/>
      <c r="K172" s="5"/>
      <c r="L172" s="5"/>
      <c r="M172" s="6" t="str">
        <f>+M$16</f>
        <v>Nettovoitot myytävissä olevista sijoituksista</v>
      </c>
      <c r="N172" s="6" t="str">
        <f>+N$16</f>
        <v>Net income from assets available for sale</v>
      </c>
      <c r="O172" s="6" t="str">
        <f>+O$16</f>
        <v>Nettovinst på tillgångar som kan säljas</v>
      </c>
    </row>
    <row r="173" spans="1:33">
      <c r="A173" s="85" t="str">
        <f t="shared" si="13"/>
        <v>Osuus osakkuusyhtiöiden tuloksesta</v>
      </c>
      <c r="B173" s="56"/>
      <c r="C173" s="56"/>
      <c r="D173" s="42"/>
      <c r="E173" s="42">
        <f>+G173-D173-C173-F173</f>
        <v>7.1479999999999997</v>
      </c>
      <c r="F173" s="161"/>
      <c r="G173" s="56">
        <f>+D17</f>
        <v>7.1479999999999997</v>
      </c>
      <c r="H173" s="11"/>
      <c r="I173" s="5"/>
      <c r="J173" s="5"/>
      <c r="K173" s="5"/>
      <c r="L173" s="5"/>
      <c r="M173" s="6" t="str">
        <f>+M$17</f>
        <v>Osuus osakkuusyhtiöiden tuloksesta</v>
      </c>
      <c r="N173" s="6" t="str">
        <f>+N$17</f>
        <v>Share of profit of associates</v>
      </c>
      <c r="O173" s="6" t="str">
        <f>+O$17</f>
        <v>Resultatandel i intresseföretag</v>
      </c>
    </row>
    <row r="174" spans="1:33">
      <c r="A174" s="6" t="str">
        <f t="shared" si="13"/>
        <v>Tulos ennen veroja</v>
      </c>
      <c r="B174" s="37"/>
      <c r="C174" s="37"/>
      <c r="D174" s="36"/>
      <c r="E174" s="36"/>
      <c r="F174" s="36"/>
      <c r="G174" s="37">
        <f>+D18</f>
        <v>92.471999999999952</v>
      </c>
      <c r="H174" s="11"/>
      <c r="I174" s="5"/>
      <c r="J174" s="5"/>
      <c r="K174" s="5"/>
      <c r="L174" s="5"/>
      <c r="M174" s="6" t="str">
        <f>+M$18</f>
        <v>Tulos ennen veroja</v>
      </c>
      <c r="N174" s="6" t="str">
        <f>+N$18</f>
        <v>Profit before taxes</v>
      </c>
      <c r="O174" s="6" t="str">
        <f>+O$18</f>
        <v>Resultat före skatter</v>
      </c>
    </row>
    <row r="175" spans="1:33">
      <c r="A175" s="6"/>
      <c r="B175" s="37"/>
      <c r="C175" s="37"/>
      <c r="D175" s="36"/>
      <c r="E175" s="36"/>
      <c r="F175" s="36"/>
      <c r="G175" s="37"/>
      <c r="H175" s="11"/>
      <c r="I175" s="5"/>
      <c r="J175" s="5"/>
      <c r="K175" s="5"/>
      <c r="L175" s="5"/>
      <c r="M175" s="6"/>
      <c r="N175" s="6"/>
      <c r="O175" s="6"/>
    </row>
    <row r="176" spans="1:33">
      <c r="A176" s="6"/>
      <c r="B176" s="37"/>
      <c r="C176" s="37"/>
      <c r="D176" s="36"/>
      <c r="E176" s="36"/>
      <c r="F176" s="36"/>
      <c r="G176" s="37"/>
      <c r="H176" s="11"/>
      <c r="I176" s="4"/>
      <c r="J176" s="4"/>
      <c r="K176" s="4"/>
      <c r="L176" s="4"/>
      <c r="M176" s="6"/>
      <c r="N176" s="6"/>
      <c r="O176" s="6"/>
    </row>
    <row r="177" spans="1:15">
      <c r="A177" s="6" t="str">
        <f>+IF($E$1=1,M177,IF($E$1=2,N177,O177))</f>
        <v>Varat</v>
      </c>
      <c r="B177" s="37">
        <f>2499.673-51.749-12.983-14.284-1.289-69.8</f>
        <v>2349.5679999999993</v>
      </c>
      <c r="C177" s="37">
        <f>2499.673-51.749-12.983-14.284-1.289-69.8</f>
        <v>2349.5679999999993</v>
      </c>
      <c r="D177" s="36"/>
      <c r="E177" s="36">
        <v>331.22699999999998</v>
      </c>
      <c r="F177" s="36">
        <f>51.749+12.983+14.284+1.289</f>
        <v>80.305000000000007</v>
      </c>
      <c r="G177" s="37">
        <f>+D49</f>
        <v>2761.0929999999998</v>
      </c>
      <c r="H177" s="11"/>
      <c r="I177" s="4"/>
      <c r="J177" s="4"/>
      <c r="K177" s="4"/>
      <c r="L177" s="4"/>
      <c r="M177" s="6" t="s">
        <v>533</v>
      </c>
      <c r="N177" s="2" t="s">
        <v>534</v>
      </c>
      <c r="O177" s="2" t="s">
        <v>284</v>
      </c>
    </row>
    <row r="178" spans="1:15">
      <c r="A178" s="6" t="str">
        <f>+IF($E$1=1,M178,IF($E$1=2,N178,O178))</f>
        <v>Velat</v>
      </c>
      <c r="B178" s="37">
        <f>1704.164-64.318-4.612+45.8</f>
        <v>1681.0339999999999</v>
      </c>
      <c r="C178" s="37">
        <f>1704.164-64.318-4.612+45.8</f>
        <v>1681.0339999999999</v>
      </c>
      <c r="D178" s="36"/>
      <c r="E178" s="36"/>
      <c r="F178" s="36">
        <f>64.318+4.612</f>
        <v>68.929999999999993</v>
      </c>
      <c r="G178" s="37">
        <f>D70</f>
        <v>1749.8650000000002</v>
      </c>
      <c r="H178" s="11"/>
      <c r="I178" s="4"/>
      <c r="J178" s="4"/>
      <c r="K178" s="4"/>
      <c r="L178" s="4"/>
      <c r="M178" s="6" t="s">
        <v>355</v>
      </c>
      <c r="N178" s="2" t="s">
        <v>356</v>
      </c>
      <c r="O178" s="2" t="s">
        <v>358</v>
      </c>
    </row>
    <row r="179" spans="1:15">
      <c r="A179" s="6" t="str">
        <f>+IF($E$1=1,M179,IF($E$1=2,N179,O179))</f>
        <v>Investoinnit</v>
      </c>
      <c r="B179" s="37">
        <f>142+29.7</f>
        <v>171.7</v>
      </c>
      <c r="C179" s="37">
        <f>142+29.7</f>
        <v>171.7</v>
      </c>
      <c r="D179" s="36">
        <v>3.3</v>
      </c>
      <c r="E179" s="36"/>
      <c r="F179" s="36"/>
      <c r="G179" s="37">
        <v>175</v>
      </c>
      <c r="H179" s="11"/>
      <c r="I179" s="4"/>
      <c r="J179" s="4"/>
      <c r="K179" s="4"/>
      <c r="L179" s="4"/>
      <c r="M179" s="6" t="s">
        <v>129</v>
      </c>
      <c r="N179" s="2" t="s">
        <v>357</v>
      </c>
      <c r="O179" s="2" t="s">
        <v>359</v>
      </c>
    </row>
    <row r="180" spans="1:15">
      <c r="A180" s="6" t="str">
        <f>+IF($E$1=1,M180,IF($E$1=2,N180,O180))</f>
        <v>Poistot ja arvonalentumiset</v>
      </c>
      <c r="B180" s="37">
        <v>-30.831</v>
      </c>
      <c r="C180" s="37">
        <v>-30.831</v>
      </c>
      <c r="D180" s="36">
        <v>-4.359</v>
      </c>
      <c r="E180" s="36"/>
      <c r="F180" s="36"/>
      <c r="G180" s="37">
        <f>D13</f>
        <v>-35.191000000000003</v>
      </c>
      <c r="H180" s="11"/>
      <c r="I180" s="4"/>
      <c r="J180" s="4"/>
      <c r="K180" s="4"/>
      <c r="L180" s="4"/>
      <c r="M180" s="6" t="s">
        <v>593</v>
      </c>
      <c r="N180" s="2" t="s">
        <v>504</v>
      </c>
      <c r="O180" s="6" t="s">
        <v>594</v>
      </c>
    </row>
    <row r="181" spans="1:15">
      <c r="B181" s="36"/>
      <c r="C181" s="36"/>
      <c r="D181" s="36"/>
      <c r="E181" s="36"/>
      <c r="F181" s="36"/>
      <c r="G181" s="36"/>
    </row>
    <row r="183" spans="1:15">
      <c r="A183" s="10" t="str">
        <f>+IF($E$1=1,M183,IF($E$1=2,N183,O183))</f>
        <v>Maantieteelliset segmentit</v>
      </c>
      <c r="B183" s="46" t="s">
        <v>364</v>
      </c>
      <c r="C183" s="46" t="s">
        <v>364</v>
      </c>
      <c r="D183" s="46" t="s">
        <v>365</v>
      </c>
      <c r="E183" s="46" t="s">
        <v>366</v>
      </c>
      <c r="F183" s="46" t="s">
        <v>625</v>
      </c>
      <c r="G183" s="46" t="s">
        <v>161</v>
      </c>
      <c r="M183" s="6" t="s">
        <v>361</v>
      </c>
      <c r="N183" s="2" t="s">
        <v>362</v>
      </c>
      <c r="O183" t="s">
        <v>363</v>
      </c>
    </row>
    <row r="185" spans="1:15">
      <c r="A185" s="6" t="str">
        <f>+IF($E$1=1,M185,IF($E$1=2,N185,O185))</f>
        <v>Liikevaihto 1-3/2006</v>
      </c>
      <c r="B185" s="22">
        <f>4.24+8.289+27.069+9.244+11.4+0.957+2.584+1.03+16.156+23.978+23.249+2.841+20.803+27.49+2.256+13.137+10.018+0.801+0.645+1.557+5.957+4.063</f>
        <v>217.76399999999998</v>
      </c>
      <c r="C185" s="22">
        <f>4.24+8.289+27.069+9.244+11.4+0.957+2.584+1.03+16.156+23.978+23.249+2.841+20.803+27.49+2.256+13.137+10.018+0.801+0.645+1.557+5.957+4.063</f>
        <v>217.76399999999998</v>
      </c>
      <c r="D185" s="22">
        <f>28.143+17.514+1.915+4.277+30.885+29.01+0.626+5.287+0.008+15.028+8.058+2.203+13.738+18.263+7.041+24.674+6.647</f>
        <v>213.31700000000001</v>
      </c>
      <c r="E185" s="22">
        <f>36.368+5.435+51.628+23.067</f>
        <v>116.49800000000002</v>
      </c>
      <c r="F185" s="22">
        <f>0.091+37.21+3.542+3.483</f>
        <v>44.326000000000001</v>
      </c>
      <c r="G185" s="22">
        <f>SUM(C185:F185)</f>
        <v>591.90500000000009</v>
      </c>
      <c r="I185" s="75">
        <f>+C10-G185</f>
        <v>2.9999999999290594E-3</v>
      </c>
      <c r="J185" s="75"/>
      <c r="K185" s="75"/>
      <c r="L185" s="75"/>
      <c r="M185" s="6" t="s">
        <v>626</v>
      </c>
      <c r="N185" s="2" t="s">
        <v>507</v>
      </c>
      <c r="O185" s="6" t="s">
        <v>627</v>
      </c>
    </row>
    <row r="186" spans="1:15">
      <c r="A186" s="6" t="str">
        <f>+IF($E$1=1,M186,IF($E$1=2,N186,O186))</f>
        <v>Liikevaihto 1-3/2005</v>
      </c>
      <c r="B186" s="37">
        <f>18.846+33.826+20.852+10.64+6.891+0.396+12.465+0.047+27.879+28.365+25.938+1.2+18.267+44.675+1.968+15.604+6.888+1.361+0.827+1.168+6.875+4.356-0.531</f>
        <v>288.80299999999994</v>
      </c>
      <c r="C186" s="37">
        <f>18.846+33.826+20.852+10.64+6.891+0.396+12.465+0.047+27.879+28.365+25.938+1.2+18.267+44.675+1.968+15.604+6.888+1.361+0.827+1.168+6.875+4.356-0.531</f>
        <v>288.80299999999994</v>
      </c>
      <c r="D186" s="36">
        <f>24.584+10.82+7.33+4.184+15.739+13.144+0.759+6.678+0.624+5.359+1.365+15.929+28.352+11.774+20.736+4.292</f>
        <v>171.66899999999998</v>
      </c>
      <c r="E186" s="36">
        <f>35.102+2.904+16.127+16.033</f>
        <v>70.165999999999997</v>
      </c>
      <c r="F186" s="36">
        <f>31.208+5.435+3.069+0.399</f>
        <v>40.111000000000004</v>
      </c>
      <c r="G186" s="37">
        <f>SUM(C186:F186)</f>
        <v>570.74899999999991</v>
      </c>
      <c r="I186" s="75">
        <f>+D10-G186</f>
        <v>686.71400000000006</v>
      </c>
      <c r="J186" s="75"/>
      <c r="K186" s="75"/>
      <c r="L186" s="75"/>
      <c r="M186" s="6" t="s">
        <v>628</v>
      </c>
      <c r="N186" s="2" t="s">
        <v>508</v>
      </c>
      <c r="O186" s="6" t="s">
        <v>629</v>
      </c>
    </row>
    <row r="187" spans="1:15">
      <c r="B187" s="5"/>
      <c r="C187" s="5"/>
      <c r="D187" s="36"/>
      <c r="F187" s="35"/>
      <c r="G187" s="5"/>
      <c r="I187" s="22"/>
      <c r="J187" s="22"/>
      <c r="K187" s="22"/>
      <c r="L187" s="22"/>
      <c r="M187" s="6"/>
      <c r="N187" s="2"/>
      <c r="O187" s="6"/>
    </row>
    <row r="188" spans="1:15">
      <c r="B188" s="5"/>
      <c r="C188" s="5"/>
      <c r="D188" s="36"/>
      <c r="F188" s="35"/>
      <c r="G188" s="5"/>
      <c r="I188" s="22"/>
      <c r="J188" s="22"/>
      <c r="K188" s="22"/>
      <c r="L188" s="22"/>
      <c r="M188" s="6"/>
      <c r="N188" s="2"/>
      <c r="O188" s="6"/>
    </row>
    <row r="189" spans="1:15">
      <c r="A189" s="21" t="str">
        <f>+IF($E$1=1,M189,IF($E$1=2,N189,O189))</f>
        <v>BRUTTOINVESTOINNIT</v>
      </c>
      <c r="B189" s="5"/>
      <c r="C189" s="5"/>
      <c r="D189" s="5"/>
      <c r="E189" s="4"/>
      <c r="F189" s="4"/>
      <c r="G189" s="4"/>
      <c r="H189" s="4"/>
      <c r="M189" s="21" t="s">
        <v>423</v>
      </c>
      <c r="N189" s="38" t="s">
        <v>424</v>
      </c>
      <c r="O189" s="21" t="s">
        <v>425</v>
      </c>
    </row>
    <row r="190" spans="1:15">
      <c r="A190" s="107" t="str">
        <f>+IF($E$1=1,M190,IF($E$1=2,N190,O190))</f>
        <v>MEUR</v>
      </c>
      <c r="B190" s="111" t="s">
        <v>360</v>
      </c>
      <c r="C190" s="111" t="s">
        <v>360</v>
      </c>
      <c r="D190" s="111" t="s">
        <v>12</v>
      </c>
      <c r="E190" s="121">
        <v>2005</v>
      </c>
      <c r="F190" s="4"/>
      <c r="G190" s="4"/>
      <c r="H190" s="4"/>
      <c r="M190" s="2" t="s">
        <v>700</v>
      </c>
      <c r="N190" s="2" t="s">
        <v>700</v>
      </c>
      <c r="O190" s="2" t="s">
        <v>700</v>
      </c>
    </row>
    <row r="191" spans="1:15">
      <c r="A191" s="4" t="str">
        <f>+IF($E$1=1,M191,IF($E$1=2,N191,O191))</f>
        <v>Osakkeet ja yritysostot</v>
      </c>
      <c r="B191" s="8"/>
      <c r="C191" s="8"/>
      <c r="D191" s="8"/>
      <c r="E191" s="25"/>
      <c r="F191" s="4"/>
      <c r="G191" s="4"/>
      <c r="H191" s="4"/>
      <c r="M191" s="4" t="s">
        <v>426</v>
      </c>
      <c r="N191" s="47" t="s">
        <v>427</v>
      </c>
      <c r="O191" s="4" t="s">
        <v>428</v>
      </c>
    </row>
    <row r="192" spans="1:15">
      <c r="A192" s="4" t="str">
        <f>+IF($E$1=1,M192,IF($E$1=2,N192,O192))</f>
        <v xml:space="preserve">   Power-liiketoiminnat</v>
      </c>
      <c r="B192" s="5">
        <v>17.023</v>
      </c>
      <c r="C192" s="5">
        <v>17.023</v>
      </c>
      <c r="D192" s="5">
        <v>116.28700000000001</v>
      </c>
      <c r="E192" s="8">
        <v>152.16399999999999</v>
      </c>
      <c r="F192" s="4"/>
      <c r="G192" s="4"/>
      <c r="H192" s="4"/>
      <c r="M192" s="4" t="s">
        <v>131</v>
      </c>
      <c r="N192" t="s">
        <v>132</v>
      </c>
      <c r="O192" s="4" t="s">
        <v>133</v>
      </c>
    </row>
    <row r="193" spans="1:15">
      <c r="A193" s="27" t="str">
        <f>+IF($E$1=1,M193,IF($E$1=2,N193,O193))</f>
        <v xml:space="preserve">   Imatra Steel</v>
      </c>
      <c r="B193" s="55"/>
      <c r="C193" s="55"/>
      <c r="D193" s="55"/>
      <c r="E193" s="110"/>
      <c r="F193" s="4"/>
      <c r="G193" s="4"/>
      <c r="H193" s="4"/>
      <c r="M193" s="48" t="s">
        <v>429</v>
      </c>
      <c r="N193" s="48" t="s">
        <v>429</v>
      </c>
      <c r="O193" s="48" t="s">
        <v>429</v>
      </c>
    </row>
    <row r="194" spans="1:15">
      <c r="A194" s="4"/>
      <c r="B194" s="5">
        <f>SUM(B192:B193)</f>
        <v>17.023</v>
      </c>
      <c r="C194" s="5">
        <f>SUM(C192:C193)</f>
        <v>17.023</v>
      </c>
      <c r="D194" s="5">
        <f>SUM(D192:D193)</f>
        <v>116.28700000000001</v>
      </c>
      <c r="E194" s="8">
        <f>SUM(E192:E193)</f>
        <v>152.16399999999999</v>
      </c>
      <c r="F194" s="4"/>
      <c r="G194" s="4"/>
      <c r="H194" s="4"/>
      <c r="M194" s="4"/>
      <c r="O194" s="4"/>
    </row>
    <row r="195" spans="1:15">
      <c r="A195" s="4" t="str">
        <f>+IF($E$1=1,M195,IF($E$1=2,N195,O195))</f>
        <v>Muut investoinnit</v>
      </c>
      <c r="B195" s="5"/>
      <c r="C195" s="5"/>
      <c r="D195" s="5"/>
      <c r="E195" s="49"/>
      <c r="F195" s="4"/>
      <c r="G195" s="4"/>
      <c r="H195" s="4"/>
      <c r="M195" s="4" t="s">
        <v>158</v>
      </c>
      <c r="N195" s="47" t="s">
        <v>159</v>
      </c>
      <c r="O195" s="4" t="s">
        <v>160</v>
      </c>
    </row>
    <row r="196" spans="1:15">
      <c r="A196" s="4" t="str">
        <f>+IF($E$1=1,M196,IF($E$1=2,N196,O196))</f>
        <v xml:space="preserve">   Power-liiketoiminnat</v>
      </c>
      <c r="B196" s="5">
        <f>22.991-0.447</f>
        <v>22.544</v>
      </c>
      <c r="C196" s="5">
        <f>22.991-0.447</f>
        <v>22.544</v>
      </c>
      <c r="D196" s="5">
        <f>16.015-D197</f>
        <v>13.209</v>
      </c>
      <c r="E196" s="11">
        <f>78.974-E197</f>
        <v>75.582999999999998</v>
      </c>
      <c r="F196" s="4"/>
      <c r="G196" s="4"/>
      <c r="H196" s="4"/>
      <c r="M196" s="4" t="s">
        <v>131</v>
      </c>
      <c r="N196" t="s">
        <v>132</v>
      </c>
      <c r="O196" s="4" t="s">
        <v>133</v>
      </c>
    </row>
    <row r="197" spans="1:15">
      <c r="A197" s="27" t="str">
        <f>+IF($E$1=1,M197,IF($E$1=2,N197,O197))</f>
        <v xml:space="preserve">   Imatra Steel</v>
      </c>
      <c r="B197" s="55"/>
      <c r="C197" s="55"/>
      <c r="D197" s="55">
        <v>2.806</v>
      </c>
      <c r="E197" s="110">
        <v>3.391</v>
      </c>
      <c r="F197" s="4"/>
      <c r="G197" s="4"/>
      <c r="H197" s="4"/>
      <c r="M197" s="48" t="s">
        <v>429</v>
      </c>
      <c r="N197" s="48" t="s">
        <v>429</v>
      </c>
      <c r="O197" s="48" t="s">
        <v>429</v>
      </c>
    </row>
    <row r="198" spans="1:15">
      <c r="A198" s="4"/>
      <c r="B198" s="8">
        <f>SUM(B196:B197)</f>
        <v>22.544</v>
      </c>
      <c r="C198" s="8">
        <f>SUM(C196:C197)</f>
        <v>22.544</v>
      </c>
      <c r="D198" s="8">
        <f>SUM(D196:D197)</f>
        <v>16.015000000000001</v>
      </c>
      <c r="E198" s="8">
        <f>SUM(E196:E197)</f>
        <v>78.974000000000004</v>
      </c>
      <c r="F198" s="4"/>
      <c r="G198" s="4"/>
      <c r="H198" s="4"/>
      <c r="M198" s="4"/>
      <c r="N198" s="50"/>
      <c r="O198" s="4"/>
    </row>
    <row r="199" spans="1:15">
      <c r="A199" s="27"/>
      <c r="B199" s="106"/>
      <c r="C199" s="106"/>
      <c r="D199" s="106"/>
      <c r="E199" s="106"/>
      <c r="F199" s="4"/>
      <c r="G199" s="4"/>
      <c r="H199" s="4"/>
      <c r="M199" s="4"/>
      <c r="N199" s="50"/>
      <c r="O199" s="4"/>
    </row>
    <row r="200" spans="1:15">
      <c r="A200" s="107" t="str">
        <f>+IF($E$1=1,M200,IF($E$1=2,N200,O200))</f>
        <v>Konserni</v>
      </c>
      <c r="B200" s="106">
        <f>B198+B194</f>
        <v>39.567</v>
      </c>
      <c r="C200" s="106">
        <f>C198+C194</f>
        <v>39.567</v>
      </c>
      <c r="D200" s="106">
        <f>D198+D194</f>
        <v>132.30200000000002</v>
      </c>
      <c r="E200" s="106">
        <f>E198+E194</f>
        <v>231.13799999999998</v>
      </c>
      <c r="F200" s="4"/>
      <c r="G200" s="4"/>
      <c r="H200" s="4"/>
      <c r="M200" s="4" t="s">
        <v>161</v>
      </c>
      <c r="N200" t="s">
        <v>162</v>
      </c>
      <c r="O200" s="4" t="s">
        <v>163</v>
      </c>
    </row>
    <row r="203" spans="1:15">
      <c r="A203" s="21" t="str">
        <f t="shared" ref="A203:A210" si="14">+IF($E$1=1,M203,IF($E$1=2,N203,O203))</f>
        <v>KOROLLINEN LAINAPÄÄOMA</v>
      </c>
      <c r="B203" s="5"/>
      <c r="C203" s="5"/>
      <c r="D203" s="5"/>
      <c r="E203" s="4"/>
      <c r="F203" s="4"/>
      <c r="G203" s="4"/>
      <c r="H203" s="4"/>
      <c r="M203" s="21" t="s">
        <v>164</v>
      </c>
      <c r="N203" s="38" t="s">
        <v>257</v>
      </c>
      <c r="O203" s="21" t="s">
        <v>165</v>
      </c>
    </row>
    <row r="204" spans="1:15">
      <c r="A204" s="107" t="str">
        <f t="shared" si="14"/>
        <v>MEUR</v>
      </c>
      <c r="B204" s="111" t="str">
        <f>B190</f>
        <v xml:space="preserve"> 1-3/2006</v>
      </c>
      <c r="C204" s="111" t="str">
        <f>C190</f>
        <v xml:space="preserve"> 1-3/2006</v>
      </c>
      <c r="D204" s="111" t="str">
        <f>D190</f>
        <v xml:space="preserve"> 1-3/2005</v>
      </c>
      <c r="E204" s="107">
        <f>+E190</f>
        <v>2005</v>
      </c>
      <c r="F204" s="4"/>
      <c r="G204" s="4"/>
      <c r="H204" s="4"/>
      <c r="M204" s="2" t="s">
        <v>700</v>
      </c>
      <c r="N204" s="2" t="s">
        <v>700</v>
      </c>
      <c r="O204" s="2" t="s">
        <v>700</v>
      </c>
    </row>
    <row r="205" spans="1:15">
      <c r="A205" s="4" t="str">
        <f t="shared" si="14"/>
        <v>Pitkäaikaiset velat</v>
      </c>
      <c r="B205" s="5">
        <v>223.26499999999999</v>
      </c>
      <c r="C205" s="5">
        <v>223.26499999999999</v>
      </c>
      <c r="D205" s="5">
        <v>255.12799999999999</v>
      </c>
      <c r="E205" s="5">
        <v>229.38399999999999</v>
      </c>
      <c r="F205" s="4"/>
      <c r="G205" s="4"/>
      <c r="H205" s="4"/>
      <c r="M205" s="4" t="s">
        <v>26</v>
      </c>
      <c r="N205" t="s">
        <v>27</v>
      </c>
      <c r="O205" s="4" t="s">
        <v>422</v>
      </c>
    </row>
    <row r="206" spans="1:15">
      <c r="A206" s="4" t="str">
        <f t="shared" si="14"/>
        <v>Lyhytaikaiset velat</v>
      </c>
      <c r="B206" s="5">
        <v>352.78199999999998</v>
      </c>
      <c r="C206" s="5">
        <v>352.78199999999998</v>
      </c>
      <c r="D206" s="5">
        <v>164.02099999999999</v>
      </c>
      <c r="E206" s="5">
        <v>174.23699999999999</v>
      </c>
      <c r="F206" s="4"/>
      <c r="G206" s="4"/>
      <c r="H206" s="4"/>
      <c r="M206" s="4" t="s">
        <v>166</v>
      </c>
      <c r="N206" s="51" t="s">
        <v>167</v>
      </c>
      <c r="O206" s="4" t="s">
        <v>568</v>
      </c>
    </row>
    <row r="207" spans="1:15">
      <c r="A207" s="28" t="str">
        <f t="shared" si="14"/>
        <v>Vaihdettava pääomalaina</v>
      </c>
      <c r="B207" s="5"/>
      <c r="C207" s="5"/>
      <c r="D207" s="5"/>
      <c r="E207" s="22"/>
      <c r="F207" s="4"/>
      <c r="G207" s="4"/>
      <c r="H207" s="4"/>
      <c r="M207" s="28" t="s">
        <v>168</v>
      </c>
      <c r="N207" s="50" t="s">
        <v>157</v>
      </c>
      <c r="O207" s="28" t="s">
        <v>169</v>
      </c>
    </row>
    <row r="208" spans="1:15">
      <c r="A208" s="4" t="str">
        <f t="shared" si="14"/>
        <v>Lainasaamiset</v>
      </c>
      <c r="B208" s="5">
        <f>-24.495-1.241</f>
        <v>-25.736000000000001</v>
      </c>
      <c r="C208" s="5">
        <f>-24.495-1.241</f>
        <v>-25.736000000000001</v>
      </c>
      <c r="D208" s="5">
        <v>-7.7549999999999999</v>
      </c>
      <c r="E208" s="5">
        <v>-28.100999999999999</v>
      </c>
      <c r="F208" s="4"/>
      <c r="G208" s="4"/>
      <c r="H208" s="4"/>
      <c r="M208" s="4" t="s">
        <v>83</v>
      </c>
      <c r="N208" t="s">
        <v>84</v>
      </c>
      <c r="O208" s="4" t="s">
        <v>85</v>
      </c>
    </row>
    <row r="209" spans="1:17">
      <c r="A209" s="27" t="str">
        <f t="shared" si="14"/>
        <v>Rahat ja pankkisaamiset</v>
      </c>
      <c r="B209" s="55">
        <f>-20.179-94.661</f>
        <v>-114.84</v>
      </c>
      <c r="C209" s="55">
        <f>-20.179-94.661</f>
        <v>-114.84</v>
      </c>
      <c r="D209" s="55">
        <v>-140.67099999999999</v>
      </c>
      <c r="E209" s="55">
        <f>-19.769-99.88</f>
        <v>-119.649</v>
      </c>
      <c r="F209" s="4"/>
      <c r="G209" s="4"/>
      <c r="H209" s="4"/>
      <c r="M209" s="48" t="s">
        <v>86</v>
      </c>
      <c r="N209" s="7" t="s">
        <v>87</v>
      </c>
      <c r="O209" s="48" t="s">
        <v>88</v>
      </c>
    </row>
    <row r="210" spans="1:17">
      <c r="A210" s="113" t="str">
        <f t="shared" si="14"/>
        <v>Netto</v>
      </c>
      <c r="B210" s="114">
        <f>SUM(B205:B209)</f>
        <v>435.471</v>
      </c>
      <c r="C210" s="114">
        <f>SUM(C205:C209)</f>
        <v>435.471</v>
      </c>
      <c r="D210" s="114">
        <f>SUM(D205:D209)</f>
        <v>270.72300000000001</v>
      </c>
      <c r="E210" s="114">
        <f>SUM(E205:E209)</f>
        <v>255.87099999999998</v>
      </c>
      <c r="F210" s="4"/>
      <c r="G210" s="4"/>
      <c r="H210" s="4"/>
      <c r="M210" s="4" t="s">
        <v>89</v>
      </c>
      <c r="N210" t="s">
        <v>90</v>
      </c>
      <c r="O210" s="4" t="s">
        <v>89</v>
      </c>
    </row>
    <row r="213" spans="1:17">
      <c r="A213" s="119" t="str">
        <f>+IF($E$1=1,M213,IF($E$1=2,N213,O213))</f>
        <v>TUNNUSLUKUJA</v>
      </c>
      <c r="B213" s="5"/>
      <c r="C213" s="5"/>
      <c r="D213" s="5"/>
      <c r="E213" s="4"/>
      <c r="F213" s="4"/>
      <c r="G213" s="4"/>
      <c r="H213" s="4"/>
      <c r="M213" s="21" t="s">
        <v>91</v>
      </c>
      <c r="N213" s="38" t="s">
        <v>92</v>
      </c>
      <c r="O213" s="21" t="s">
        <v>93</v>
      </c>
      <c r="P213" s="4"/>
    </row>
    <row r="214" spans="1:17">
      <c r="A214" s="88"/>
      <c r="B214" s="111" t="str">
        <f>+B204</f>
        <v xml:space="preserve"> 1-3/2006</v>
      </c>
      <c r="C214" s="111" t="str">
        <f>+C204</f>
        <v xml:space="preserve"> 1-3/2006</v>
      </c>
      <c r="D214" s="111" t="str">
        <f>+D204</f>
        <v xml:space="preserve"> 1-3/2005</v>
      </c>
      <c r="E214" s="112">
        <f>+E204</f>
        <v>2005</v>
      </c>
      <c r="F214" s="4"/>
      <c r="G214" s="4"/>
      <c r="H214" s="4"/>
      <c r="P214" s="4"/>
    </row>
    <row r="215" spans="1:17">
      <c r="A215" s="4" t="str">
        <f>+IF($E$1=1,M215,IF($E$1=2,N215,O215))</f>
        <v>Tulos/osake, EUR</v>
      </c>
      <c r="B215" s="6">
        <f>+B28</f>
        <v>0</v>
      </c>
      <c r="C215" s="6">
        <f t="shared" ref="C215:E216" si="15">+C28</f>
        <v>0.55436620609110432</v>
      </c>
      <c r="D215" s="6">
        <f t="shared" si="15"/>
        <v>0.72909999999999997</v>
      </c>
      <c r="E215" s="6">
        <f t="shared" si="15"/>
        <v>1.8</v>
      </c>
      <c r="F215" s="4"/>
      <c r="G215" s="4"/>
      <c r="H215" s="4"/>
      <c r="M215" s="6" t="str">
        <f t="shared" ref="M215:O216" si="16">+M28</f>
        <v>Tulos/osake, EUR</v>
      </c>
      <c r="N215" s="6" t="str">
        <f t="shared" si="16"/>
        <v>Earnings per share, EUR</v>
      </c>
      <c r="O215" s="6" t="str">
        <f t="shared" si="16"/>
        <v>Resultat per aktie, euro</v>
      </c>
      <c r="P215" s="4"/>
    </row>
    <row r="216" spans="1:17">
      <c r="A216" s="4" t="str">
        <f>+IF($E$1=1,M216,IF($E$1=2,N216,O216))</f>
        <v>Laimennettu tulos/osake, EUR</v>
      </c>
      <c r="B216" s="6">
        <f>+B29</f>
        <v>0</v>
      </c>
      <c r="C216" s="6">
        <f t="shared" si="15"/>
        <v>0.55000000000000004</v>
      </c>
      <c r="D216" s="6">
        <f t="shared" si="15"/>
        <v>0.72</v>
      </c>
      <c r="E216" s="6">
        <f t="shared" si="15"/>
        <v>1.78</v>
      </c>
      <c r="F216" s="4"/>
      <c r="G216" s="4"/>
      <c r="H216" s="4"/>
      <c r="M216" s="6" t="str">
        <f t="shared" si="16"/>
        <v>Laimennettu tulos/osake, EUR</v>
      </c>
      <c r="N216" s="6" t="str">
        <f t="shared" si="16"/>
        <v>Diluted earnings per share, EUR</v>
      </c>
      <c r="O216" s="6" t="str">
        <f t="shared" si="16"/>
        <v>Resultat per aktie efter utspädning, euro</v>
      </c>
      <c r="P216" s="4"/>
    </row>
    <row r="217" spans="1:17">
      <c r="A217" s="4" t="str">
        <f>+IF($E$1=1,M217,IF($E$1=2,N217,O217))</f>
        <v>Oma pääoma/osake, EUR</v>
      </c>
      <c r="B217" s="6">
        <v>11.71</v>
      </c>
      <c r="C217" s="6">
        <v>11.71</v>
      </c>
      <c r="D217" s="6">
        <v>10.657999999999999</v>
      </c>
      <c r="E217" s="18">
        <v>12.25</v>
      </c>
      <c r="F217" s="4"/>
      <c r="G217" s="4"/>
      <c r="H217" s="4"/>
      <c r="M217" s="4" t="s">
        <v>94</v>
      </c>
      <c r="N217" t="s">
        <v>95</v>
      </c>
      <c r="O217" s="4" t="s">
        <v>281</v>
      </c>
      <c r="P217" s="4"/>
    </row>
    <row r="218" spans="1:17">
      <c r="A218" s="25" t="str">
        <f>+IF($E$1=1,M218,IF($E$1=2,N218,O218))</f>
        <v>Omavaraisuusaste, %</v>
      </c>
      <c r="B218" s="5">
        <v>41.9</v>
      </c>
      <c r="C218" s="5">
        <v>41.9</v>
      </c>
      <c r="D218" s="5">
        <v>40.167000000000002</v>
      </c>
      <c r="E218" s="8">
        <v>46.6</v>
      </c>
      <c r="F218" s="4"/>
      <c r="G218" s="4"/>
      <c r="H218" s="4"/>
      <c r="I218" t="s">
        <v>561</v>
      </c>
      <c r="M218" s="25" t="s">
        <v>96</v>
      </c>
      <c r="N218" s="52" t="s">
        <v>97</v>
      </c>
      <c r="O218" s="25" t="s">
        <v>282</v>
      </c>
      <c r="P218" s="4"/>
    </row>
    <row r="219" spans="1:17">
      <c r="A219" s="34" t="str">
        <f>+IF($E$1=1,M219,IF($E$1=2,N219,O219))</f>
        <v>Nettovelkaantumisaste</v>
      </c>
      <c r="B219" s="85">
        <v>0.41</v>
      </c>
      <c r="C219" s="85">
        <v>0.41</v>
      </c>
      <c r="D219" s="85">
        <v>0.28000000000000003</v>
      </c>
      <c r="E219" s="89">
        <v>0.24</v>
      </c>
      <c r="F219" s="4"/>
      <c r="G219" s="4"/>
      <c r="H219" s="4"/>
      <c r="M219" s="25" t="s">
        <v>280</v>
      </c>
      <c r="N219" s="52" t="s">
        <v>376</v>
      </c>
      <c r="O219" s="25" t="s">
        <v>283</v>
      </c>
      <c r="P219" s="4"/>
    </row>
    <row r="222" spans="1:17">
      <c r="A222" s="119" t="str">
        <f t="shared" ref="A222:A227" si="17">+IF($E$1=1,M222,IF($E$1=2,N222,O222))</f>
        <v>HENKILÖSTÖ</v>
      </c>
      <c r="M222" s="21" t="s">
        <v>377</v>
      </c>
      <c r="N222" s="38" t="s">
        <v>378</v>
      </c>
      <c r="O222" s="21" t="s">
        <v>379</v>
      </c>
    </row>
    <row r="223" spans="1:17">
      <c r="A223" s="107" t="str">
        <f t="shared" si="17"/>
        <v>Keskimäärin</v>
      </c>
      <c r="B223" s="111" t="str">
        <f>+B214</f>
        <v xml:space="preserve"> 1-3/2006</v>
      </c>
      <c r="C223" s="111" t="str">
        <f>+C214</f>
        <v xml:space="preserve"> 1-3/2006</v>
      </c>
      <c r="D223" s="111" t="str">
        <f>+D214</f>
        <v xml:space="preserve"> 1-3/2005</v>
      </c>
      <c r="E223" s="112">
        <f>+E214</f>
        <v>2005</v>
      </c>
      <c r="F223" s="4"/>
      <c r="G223" s="4"/>
      <c r="H223" s="4"/>
      <c r="M223" s="4" t="s">
        <v>380</v>
      </c>
      <c r="N223" t="s">
        <v>381</v>
      </c>
      <c r="O223" s="4" t="s">
        <v>382</v>
      </c>
      <c r="P223" s="4"/>
      <c r="Q223" s="4"/>
    </row>
    <row r="224" spans="1:17">
      <c r="A224" s="6" t="str">
        <f t="shared" si="17"/>
        <v>Power-liiketoiminnat</v>
      </c>
      <c r="B224" s="115">
        <v>12341</v>
      </c>
      <c r="C224" s="115">
        <v>12341</v>
      </c>
      <c r="D224" s="115">
        <v>10961</v>
      </c>
      <c r="E224" s="116">
        <v>11625</v>
      </c>
      <c r="F224" s="4"/>
      <c r="G224" s="4"/>
      <c r="H224" s="4"/>
      <c r="M224" s="4" t="s">
        <v>535</v>
      </c>
      <c r="N224" t="s">
        <v>134</v>
      </c>
      <c r="O224" s="4" t="s">
        <v>135</v>
      </c>
      <c r="P224" s="4"/>
      <c r="Q224" s="4"/>
    </row>
    <row r="225" spans="1:17">
      <c r="A225" s="28" t="str">
        <f t="shared" si="17"/>
        <v>Imatra Steel</v>
      </c>
      <c r="B225" s="143"/>
      <c r="C225" s="143"/>
      <c r="D225" s="143">
        <v>1270</v>
      </c>
      <c r="E225" s="144">
        <v>424</v>
      </c>
      <c r="F225" s="4"/>
      <c r="G225" s="4"/>
      <c r="H225" s="4"/>
      <c r="M225" s="48" t="s">
        <v>591</v>
      </c>
      <c r="N225" s="48" t="s">
        <v>591</v>
      </c>
      <c r="O225" s="48" t="s">
        <v>591</v>
      </c>
      <c r="P225" s="4"/>
      <c r="Q225" s="4"/>
    </row>
    <row r="226" spans="1:17">
      <c r="A226" s="39" t="str">
        <f t="shared" si="17"/>
        <v>Konserni</v>
      </c>
      <c r="B226" s="143">
        <f>SUM(B224:B225)</f>
        <v>12341</v>
      </c>
      <c r="C226" s="143">
        <f>SUM(C224:C225)</f>
        <v>12341</v>
      </c>
      <c r="D226" s="143">
        <f>SUM(D224:D225)</f>
        <v>12231</v>
      </c>
      <c r="E226" s="144">
        <f>SUM(E224:E225)</f>
        <v>12049</v>
      </c>
      <c r="F226" s="4"/>
      <c r="G226" s="4"/>
      <c r="H226" s="4"/>
      <c r="M226" s="39" t="s">
        <v>161</v>
      </c>
      <c r="N226" s="2" t="s">
        <v>162</v>
      </c>
      <c r="O226" s="6" t="s">
        <v>163</v>
      </c>
      <c r="P226" s="4"/>
      <c r="Q226" s="4"/>
    </row>
    <row r="227" spans="1:17">
      <c r="A227" s="27" t="str">
        <f t="shared" si="17"/>
        <v>Henkilöstö kauden lopussa</v>
      </c>
      <c r="B227" s="117">
        <v>12605</v>
      </c>
      <c r="C227" s="117">
        <v>12605</v>
      </c>
      <c r="D227" s="117">
        <v>12322</v>
      </c>
      <c r="E227" s="118">
        <v>12008</v>
      </c>
      <c r="F227" s="4"/>
      <c r="G227" s="4"/>
      <c r="H227" s="4"/>
      <c r="M227" s="6" t="s">
        <v>383</v>
      </c>
      <c r="N227" s="53" t="s">
        <v>258</v>
      </c>
      <c r="O227" s="6" t="s">
        <v>384</v>
      </c>
      <c r="P227" s="4"/>
      <c r="Q227" s="4"/>
    </row>
    <row r="228" spans="1:17">
      <c r="A228" s="6"/>
      <c r="B228" s="5"/>
      <c r="C228" s="5"/>
      <c r="D228" s="8"/>
      <c r="E228" s="4"/>
      <c r="F228" s="4"/>
      <c r="G228" s="4"/>
      <c r="H228" s="4"/>
      <c r="M228" s="6"/>
      <c r="N228" s="41"/>
      <c r="O228" s="6"/>
      <c r="P228" s="4"/>
      <c r="Q228" s="4"/>
    </row>
    <row r="229" spans="1:17">
      <c r="A229" s="4"/>
      <c r="B229" s="5"/>
      <c r="C229" s="5"/>
      <c r="D229" s="5"/>
      <c r="E229" s="4"/>
      <c r="F229" s="4"/>
      <c r="G229" s="4"/>
      <c r="H229" s="4"/>
      <c r="M229" s="4"/>
      <c r="N229" s="53"/>
      <c r="O229" s="4"/>
      <c r="P229" s="4"/>
      <c r="Q229" s="4"/>
    </row>
    <row r="230" spans="1:17">
      <c r="A230" s="21" t="str">
        <f>+IF($E$1=1,M230,IF($E$1=2,N230,O230))</f>
        <v>VASTUUSITOUMUKSET</v>
      </c>
      <c r="B230" s="5"/>
      <c r="C230" s="5"/>
      <c r="D230" s="5"/>
      <c r="E230" s="4"/>
      <c r="F230" s="4"/>
      <c r="G230" s="4"/>
      <c r="H230" s="4"/>
      <c r="M230" s="21" t="s">
        <v>385</v>
      </c>
      <c r="N230" s="38" t="s">
        <v>662</v>
      </c>
      <c r="O230" s="21" t="s">
        <v>663</v>
      </c>
      <c r="P230" s="4"/>
      <c r="Q230" s="4"/>
    </row>
    <row r="231" spans="1:17">
      <c r="A231" s="107" t="str">
        <f>+IF($E$1=1,M231,IF($E$1=2,N231,O231))</f>
        <v>MEUR</v>
      </c>
      <c r="B231" s="123" t="str">
        <f>+B223</f>
        <v xml:space="preserve"> 1-3/2006</v>
      </c>
      <c r="C231" s="123" t="str">
        <f>+C223</f>
        <v xml:space="preserve"> 1-3/2006</v>
      </c>
      <c r="D231" s="123" t="str">
        <f>+D223</f>
        <v xml:space="preserve"> 1-3/2005</v>
      </c>
      <c r="E231" s="124">
        <f>+E223</f>
        <v>2005</v>
      </c>
      <c r="F231" s="4"/>
      <c r="G231" s="4"/>
      <c r="H231" s="4"/>
      <c r="M231" s="2" t="s">
        <v>700</v>
      </c>
      <c r="N231" s="2" t="s">
        <v>700</v>
      </c>
      <c r="O231" s="2" t="s">
        <v>700</v>
      </c>
      <c r="P231" s="4"/>
      <c r="Q231" s="4"/>
    </row>
    <row r="232" spans="1:17">
      <c r="A232" s="25" t="str">
        <f>+IF($E$1=1,M232,IF($E$1=2,N232,O232))</f>
        <v>Kiinteistökiinnitykset</v>
      </c>
      <c r="B232" s="8">
        <v>15.4</v>
      </c>
      <c r="C232" s="8">
        <v>15.4</v>
      </c>
      <c r="D232" s="8">
        <v>44.5</v>
      </c>
      <c r="E232" s="8">
        <v>15</v>
      </c>
      <c r="F232" s="25"/>
      <c r="G232" s="25"/>
      <c r="H232" s="4"/>
      <c r="M232" s="4" t="s">
        <v>35</v>
      </c>
      <c r="N232" t="s">
        <v>36</v>
      </c>
      <c r="O232" s="4" t="s">
        <v>98</v>
      </c>
      <c r="P232" s="4"/>
      <c r="Q232" s="4"/>
    </row>
    <row r="233" spans="1:17">
      <c r="A233" s="34" t="str">
        <f>+IF($E$1=1,M233,IF($E$1=2,N233,O233))</f>
        <v>Yrityskiinnitykset</v>
      </c>
      <c r="B233" s="106">
        <v>22.8</v>
      </c>
      <c r="C233" s="106">
        <v>22.8</v>
      </c>
      <c r="D233" s="106">
        <v>27.8</v>
      </c>
      <c r="E233" s="106">
        <v>23.1</v>
      </c>
      <c r="F233" s="25"/>
      <c r="G233" s="25"/>
      <c r="H233" s="4"/>
      <c r="M233" s="48" t="s">
        <v>99</v>
      </c>
      <c r="N233" s="54" t="s">
        <v>100</v>
      </c>
      <c r="O233" s="48" t="s">
        <v>101</v>
      </c>
      <c r="P233" s="4"/>
      <c r="Q233" s="4"/>
    </row>
    <row r="234" spans="1:17">
      <c r="A234" s="145" t="str">
        <f>+IF($E$1=1,M234,IF($E$1=2,N234,O234))</f>
        <v>Yhteensä</v>
      </c>
      <c r="B234" s="146">
        <f>SUM(B232:B233)</f>
        <v>38.200000000000003</v>
      </c>
      <c r="C234" s="146">
        <f>SUM(C232:C233)</f>
        <v>38.200000000000003</v>
      </c>
      <c r="D234" s="146">
        <f>SUM(D232:D233)</f>
        <v>72.3</v>
      </c>
      <c r="E234" s="147">
        <f>SUM(E232:E233)</f>
        <v>38.1</v>
      </c>
      <c r="F234" s="25"/>
      <c r="G234" s="25"/>
      <c r="H234" s="4"/>
      <c r="M234" s="4" t="s">
        <v>590</v>
      </c>
      <c r="N234" t="s">
        <v>641</v>
      </c>
      <c r="O234" s="4" t="s">
        <v>271</v>
      </c>
      <c r="P234" s="4"/>
      <c r="Q234" s="4"/>
    </row>
    <row r="235" spans="1:17">
      <c r="A235" s="125"/>
      <c r="B235" s="11"/>
      <c r="C235" s="11"/>
      <c r="D235" s="11"/>
      <c r="E235" s="29"/>
      <c r="F235" s="25"/>
      <c r="G235" s="25"/>
      <c r="H235" s="4"/>
      <c r="M235" s="4"/>
      <c r="O235" s="4"/>
      <c r="P235" s="4"/>
      <c r="Q235" s="4"/>
    </row>
    <row r="236" spans="1:17">
      <c r="A236" s="26" t="str">
        <f t="shared" ref="A236:A242" si="18">+IF($E$1=1,M236,IF($E$1=2,N236,O236))</f>
        <v>Takaukset ja vastuusitoumukset</v>
      </c>
      <c r="B236" s="8"/>
      <c r="C236" s="8"/>
      <c r="D236" s="8"/>
      <c r="E236" s="25"/>
      <c r="F236" s="25"/>
      <c r="G236" s="25"/>
      <c r="H236" s="4"/>
      <c r="M236" s="4" t="s">
        <v>272</v>
      </c>
      <c r="N236" t="s">
        <v>273</v>
      </c>
      <c r="O236" s="4" t="s">
        <v>274</v>
      </c>
      <c r="P236" s="4"/>
      <c r="Q236" s="4"/>
    </row>
    <row r="237" spans="1:17">
      <c r="A237" s="57" t="str">
        <f t="shared" si="18"/>
        <v xml:space="preserve">   Samaan konserniin kuuluvien yritysten puolesta</v>
      </c>
      <c r="B237" s="8">
        <v>298.8</v>
      </c>
      <c r="C237" s="8">
        <v>298.8</v>
      </c>
      <c r="D237" s="8">
        <v>228.4</v>
      </c>
      <c r="E237" s="8">
        <v>290</v>
      </c>
      <c r="F237" s="25"/>
      <c r="G237" s="25"/>
      <c r="H237" s="4"/>
      <c r="M237" s="4" t="s">
        <v>447</v>
      </c>
      <c r="N237" t="s">
        <v>54</v>
      </c>
      <c r="O237" s="4" t="s">
        <v>299</v>
      </c>
      <c r="P237" s="4"/>
      <c r="Q237" s="4"/>
    </row>
    <row r="238" spans="1:17">
      <c r="A238" s="57" t="str">
        <f t="shared" si="18"/>
        <v xml:space="preserve">   Osakkuusyhtiöiden puolesta</v>
      </c>
      <c r="B238" s="8"/>
      <c r="C238" s="8"/>
      <c r="D238" s="8"/>
      <c r="E238" s="25"/>
      <c r="F238" s="25"/>
      <c r="G238" s="25"/>
      <c r="H238" s="4"/>
      <c r="M238" s="4" t="s">
        <v>302</v>
      </c>
      <c r="N238" t="s">
        <v>301</v>
      </c>
      <c r="O238" s="4" t="s">
        <v>300</v>
      </c>
      <c r="P238" s="4"/>
      <c r="Q238" s="4"/>
    </row>
    <row r="239" spans="1:17">
      <c r="A239" s="58" t="str">
        <f t="shared" si="18"/>
        <v xml:space="preserve">   Muiden puolesta</v>
      </c>
      <c r="B239" s="11"/>
      <c r="C239" s="11"/>
      <c r="D239" s="11"/>
      <c r="E239" s="29"/>
      <c r="F239" s="25"/>
      <c r="G239" s="25"/>
      <c r="H239" s="4"/>
      <c r="M239" s="28" t="s">
        <v>303</v>
      </c>
      <c r="N239" s="50" t="s">
        <v>699</v>
      </c>
      <c r="O239" s="28" t="s">
        <v>698</v>
      </c>
      <c r="P239" s="4"/>
      <c r="Q239" s="4"/>
    </row>
    <row r="240" spans="1:17">
      <c r="A240" s="29" t="str">
        <f t="shared" si="18"/>
        <v xml:space="preserve">Leasingvuokrasopimusten mukaisten </v>
      </c>
      <c r="F240" s="25"/>
      <c r="G240" s="25"/>
      <c r="H240" s="4"/>
      <c r="M240" s="48" t="s">
        <v>304</v>
      </c>
      <c r="N240" s="54" t="s">
        <v>306</v>
      </c>
      <c r="O240" s="48" t="s">
        <v>308</v>
      </c>
      <c r="P240" s="4"/>
      <c r="Q240" s="4"/>
    </row>
    <row r="241" spans="1:17">
      <c r="A241" s="34" t="str">
        <f t="shared" si="18"/>
        <v>vuokrien nimellisarvot</v>
      </c>
      <c r="B241" s="106">
        <v>40</v>
      </c>
      <c r="C241" s="106">
        <v>40</v>
      </c>
      <c r="D241" s="106">
        <v>39</v>
      </c>
      <c r="E241" s="34">
        <v>37.4</v>
      </c>
      <c r="F241" s="25"/>
      <c r="G241" s="25"/>
      <c r="H241" s="4"/>
      <c r="M241" s="28" t="s">
        <v>305</v>
      </c>
      <c r="N241" s="50" t="s">
        <v>307</v>
      </c>
      <c r="O241" s="28" t="s">
        <v>309</v>
      </c>
      <c r="P241" s="4"/>
      <c r="Q241" s="4"/>
    </row>
    <row r="242" spans="1:17">
      <c r="A242" s="126" t="str">
        <f t="shared" si="18"/>
        <v>Yhteensä</v>
      </c>
      <c r="B242" s="122">
        <f>SUM(B237:B241)</f>
        <v>338.8</v>
      </c>
      <c r="C242" s="122">
        <f>SUM(C237:C241)</f>
        <v>338.8</v>
      </c>
      <c r="D242" s="122">
        <f>SUM(D237:D241)</f>
        <v>267.39999999999998</v>
      </c>
      <c r="E242" s="122">
        <f>SUM(E237:E241)</f>
        <v>327.39999999999998</v>
      </c>
      <c r="F242" s="25"/>
      <c r="G242" s="25"/>
      <c r="H242" s="4"/>
      <c r="M242" s="4" t="s">
        <v>590</v>
      </c>
      <c r="N242" t="s">
        <v>641</v>
      </c>
      <c r="O242" s="4" t="s">
        <v>271</v>
      </c>
      <c r="P242" s="4"/>
      <c r="Q242" s="4"/>
    </row>
    <row r="243" spans="1:17">
      <c r="A243" s="29"/>
      <c r="B243" s="11"/>
      <c r="C243" s="11"/>
      <c r="D243" s="11"/>
      <c r="E243" s="29"/>
      <c r="F243" s="25"/>
      <c r="G243" s="25"/>
      <c r="H243" s="4"/>
      <c r="M243" s="4"/>
      <c r="O243" s="4"/>
      <c r="P243" s="4"/>
      <c r="Q243" s="4"/>
    </row>
    <row r="244" spans="1:17">
      <c r="A244" s="25"/>
      <c r="B244" s="8"/>
      <c r="C244" s="8"/>
      <c r="D244" s="8"/>
      <c r="E244" s="25"/>
      <c r="F244" s="25"/>
      <c r="G244" s="25"/>
      <c r="H244" s="4"/>
      <c r="M244" s="4"/>
      <c r="O244" s="4"/>
      <c r="P244" s="4"/>
      <c r="Q244" s="4"/>
    </row>
    <row r="245" spans="1:17">
      <c r="A245" s="26" t="str">
        <f t="shared" ref="A245:A253" si="19">+IF($E$1=1,M245,IF($E$1=2,N245,O245))</f>
        <v>JOHDANNAISTEN NIMELLISARVO</v>
      </c>
      <c r="B245" s="8"/>
      <c r="C245" s="8"/>
      <c r="D245" s="8"/>
      <c r="E245" s="25"/>
      <c r="F245" s="25"/>
      <c r="G245" s="25"/>
      <c r="H245" s="4"/>
      <c r="M245" s="21" t="s">
        <v>194</v>
      </c>
      <c r="N245" s="38" t="s">
        <v>195</v>
      </c>
      <c r="O245" s="21" t="s">
        <v>196</v>
      </c>
      <c r="P245" s="4"/>
      <c r="Q245" s="4"/>
    </row>
    <row r="246" spans="1:17">
      <c r="A246" s="121" t="str">
        <f t="shared" si="19"/>
        <v>MEUR</v>
      </c>
      <c r="B246" s="127" t="s">
        <v>565</v>
      </c>
      <c r="C246" s="127" t="s">
        <v>565</v>
      </c>
      <c r="D246" s="104"/>
      <c r="E246" s="104" t="s">
        <v>566</v>
      </c>
      <c r="F246" s="25"/>
      <c r="G246" s="25"/>
      <c r="H246" s="4"/>
      <c r="M246" s="2" t="s">
        <v>700</v>
      </c>
      <c r="N246" s="2" t="s">
        <v>700</v>
      </c>
      <c r="O246" s="2" t="s">
        <v>700</v>
      </c>
      <c r="P246" s="4"/>
      <c r="Q246" s="4"/>
    </row>
    <row r="247" spans="1:17">
      <c r="A247" s="25" t="str">
        <f t="shared" si="19"/>
        <v>Korko-optiot, ostetut</v>
      </c>
      <c r="B247" s="59"/>
      <c r="C247" s="59"/>
      <c r="D247" s="8"/>
      <c r="E247" s="25"/>
      <c r="F247" s="25"/>
      <c r="G247" s="25"/>
      <c r="H247" s="4"/>
      <c r="M247" s="25" t="s">
        <v>197</v>
      </c>
      <c r="N247" t="s">
        <v>198</v>
      </c>
      <c r="O247" s="25" t="s">
        <v>199</v>
      </c>
      <c r="P247" s="4"/>
      <c r="Q247" s="4"/>
    </row>
    <row r="248" spans="1:17">
      <c r="A248" s="25" t="str">
        <f t="shared" si="19"/>
        <v>Korko-optiot, asetetut</v>
      </c>
      <c r="B248" s="59"/>
      <c r="C248" s="59"/>
      <c r="D248" s="8"/>
      <c r="E248" s="25"/>
      <c r="F248" s="25"/>
      <c r="G248" s="25"/>
      <c r="H248" s="4"/>
      <c r="M248" s="25" t="s">
        <v>200</v>
      </c>
      <c r="N248" t="s">
        <v>201</v>
      </c>
      <c r="O248" s="25" t="s">
        <v>202</v>
      </c>
      <c r="P248" s="4"/>
      <c r="Q248" s="4"/>
    </row>
    <row r="249" spans="1:17">
      <c r="A249" s="25" t="str">
        <f t="shared" si="19"/>
        <v>Koronvaihtosopimukset</v>
      </c>
      <c r="B249" s="8">
        <v>180</v>
      </c>
      <c r="C249" s="8">
        <v>180</v>
      </c>
      <c r="D249" s="8"/>
      <c r="E249" s="8"/>
      <c r="F249" s="25"/>
      <c r="G249" s="25"/>
      <c r="H249" s="4"/>
      <c r="M249" s="25" t="s">
        <v>203</v>
      </c>
      <c r="N249" t="s">
        <v>204</v>
      </c>
      <c r="O249" s="25" t="s">
        <v>205</v>
      </c>
      <c r="P249" s="4"/>
      <c r="Q249" s="4"/>
    </row>
    <row r="250" spans="1:17">
      <c r="A250" s="25" t="str">
        <f t="shared" si="19"/>
        <v>Korkofutuurit</v>
      </c>
      <c r="B250" s="8"/>
      <c r="C250" s="8"/>
      <c r="D250" s="8"/>
      <c r="E250" s="79"/>
      <c r="F250" s="25"/>
      <c r="G250" s="25"/>
      <c r="H250" s="4"/>
      <c r="M250" s="25" t="s">
        <v>206</v>
      </c>
      <c r="N250" t="s">
        <v>207</v>
      </c>
      <c r="O250" s="25" t="s">
        <v>512</v>
      </c>
      <c r="P250" s="4"/>
      <c r="Q250" s="4"/>
    </row>
    <row r="251" spans="1:17">
      <c r="A251" s="25" t="str">
        <f t="shared" si="19"/>
        <v>Valuuttatermiinit</v>
      </c>
      <c r="B251" s="81">
        <v>1282.5999999999999</v>
      </c>
      <c r="C251" s="81">
        <v>1282.5999999999999</v>
      </c>
      <c r="D251" s="8"/>
      <c r="E251" s="8">
        <v>242.9</v>
      </c>
      <c r="F251" s="25"/>
      <c r="G251" s="25"/>
      <c r="H251" s="4"/>
      <c r="M251" s="25" t="s">
        <v>785</v>
      </c>
      <c r="N251" t="s">
        <v>572</v>
      </c>
      <c r="O251" s="25" t="s">
        <v>786</v>
      </c>
      <c r="P251" s="4"/>
      <c r="Q251" s="4"/>
    </row>
    <row r="252" spans="1:17">
      <c r="A252" s="25" t="str">
        <f t="shared" si="19"/>
        <v>Valuuttaoptiot, osteutut</v>
      </c>
      <c r="B252" s="8">
        <v>40.700000000000003</v>
      </c>
      <c r="C252" s="8">
        <v>40.700000000000003</v>
      </c>
      <c r="D252" s="8"/>
      <c r="E252" s="79"/>
      <c r="F252" s="25"/>
      <c r="G252" s="25"/>
      <c r="H252" s="4"/>
      <c r="M252" s="25" t="s">
        <v>787</v>
      </c>
      <c r="N252" t="s">
        <v>797</v>
      </c>
      <c r="O252" s="25" t="s">
        <v>798</v>
      </c>
      <c r="P252" s="4"/>
      <c r="Q252" s="4"/>
    </row>
    <row r="253" spans="1:17">
      <c r="A253" s="34" t="str">
        <f t="shared" si="19"/>
        <v>Valuuttaoptiot, asetetut</v>
      </c>
      <c r="B253" s="110">
        <v>41.7</v>
      </c>
      <c r="C253" s="110">
        <v>41.7</v>
      </c>
      <c r="D253" s="106"/>
      <c r="E253" s="34"/>
      <c r="F253" s="25"/>
      <c r="G253" s="25"/>
      <c r="H253" s="4"/>
      <c r="M253" s="25" t="s">
        <v>799</v>
      </c>
      <c r="N253" t="s">
        <v>563</v>
      </c>
      <c r="O253" s="25" t="s">
        <v>564</v>
      </c>
      <c r="P253" s="4"/>
      <c r="Q253" s="4"/>
    </row>
    <row r="254" spans="1:17">
      <c r="A254" s="25"/>
      <c r="B254" s="8"/>
      <c r="C254" s="8"/>
      <c r="D254" s="8"/>
      <c r="E254" s="25"/>
      <c r="F254" s="25"/>
      <c r="G254" s="25"/>
      <c r="H254" s="4"/>
      <c r="M254" s="25"/>
      <c r="O254" s="25"/>
      <c r="P254" s="4"/>
      <c r="Q254" s="4"/>
    </row>
    <row r="256" spans="1:17">
      <c r="A256" s="26" t="str">
        <f>+IF($E$1=1,M256,IF($E$1=2,N256,O256))</f>
        <v>TULOSLASKELMA NELJÄNNEKSITTÄIN</v>
      </c>
      <c r="M256" s="25" t="s">
        <v>310</v>
      </c>
      <c r="N256" t="s">
        <v>311</v>
      </c>
      <c r="O256" s="25" t="s">
        <v>312</v>
      </c>
    </row>
    <row r="257" spans="1:15">
      <c r="A257" s="121" t="str">
        <f>+IF($E$1=1,M257,IF($E$1=2,N257,O257))</f>
        <v>MEUR</v>
      </c>
      <c r="B257" s="109" t="s">
        <v>360</v>
      </c>
      <c r="C257" s="109" t="s">
        <v>360</v>
      </c>
      <c r="D257" s="128" t="s">
        <v>12</v>
      </c>
      <c r="E257" s="109" t="s">
        <v>630</v>
      </c>
      <c r="F257" s="109" t="s">
        <v>631</v>
      </c>
      <c r="G257" s="109" t="s">
        <v>632</v>
      </c>
      <c r="H257" s="108">
        <v>2005</v>
      </c>
      <c r="M257" s="2" t="s">
        <v>700</v>
      </c>
      <c r="N257" s="2" t="s">
        <v>700</v>
      </c>
      <c r="O257" s="2" t="s">
        <v>700</v>
      </c>
    </row>
    <row r="258" spans="1:15">
      <c r="A258" s="25" t="str">
        <f>+IF($E$1=1,M258,IF($E$1=2,N258,O258))</f>
        <v>Liikevaihto</v>
      </c>
      <c r="B258" s="36" t="e">
        <f ca="1">SUM(B259:B260)</f>
        <v>#NAME?</v>
      </c>
      <c r="C258" s="36">
        <f>SUM(C259:C260)</f>
        <v>591.90800000000002</v>
      </c>
      <c r="D258" s="36">
        <f>SUM(D259:D260)-0.34</f>
        <v>570.66800000000001</v>
      </c>
      <c r="E258" s="36">
        <f>SUM(E259:E260)-0.139</f>
        <v>686.79499999999996</v>
      </c>
      <c r="F258" s="36">
        <f>SUM(F259:F260)</f>
        <v>607.84699999999998</v>
      </c>
      <c r="G258" s="36">
        <f>SUM(G259:G260)</f>
        <v>773.50400000000002</v>
      </c>
      <c r="H258" s="36">
        <f>SUM(D258:G258)</f>
        <v>2638.8139999999999</v>
      </c>
      <c r="M258" s="65" t="s">
        <v>583</v>
      </c>
      <c r="N258" s="65" t="s">
        <v>501</v>
      </c>
      <c r="O258" s="65" t="s">
        <v>151</v>
      </c>
    </row>
    <row r="259" spans="1:15">
      <c r="A259" s="25" t="str">
        <f>+IF($E$1=1,M259,IF($E$1=2,N259,O259))</f>
        <v xml:space="preserve">   Power-liiketoiminnat</v>
      </c>
      <c r="B259" s="36" t="e">
        <f ca="1">+B10</f>
        <v>#NAME?</v>
      </c>
      <c r="C259" s="36">
        <f>+C10</f>
        <v>591.90800000000002</v>
      </c>
      <c r="D259" s="36">
        <v>483.74200000000002</v>
      </c>
      <c r="E259" s="36">
        <v>655.23699999999997</v>
      </c>
      <c r="F259" s="36">
        <v>607.84699999999998</v>
      </c>
      <c r="G259" s="36">
        <v>773.50400000000002</v>
      </c>
      <c r="H259" s="36">
        <f>SUM(D259:G259)</f>
        <v>2520.33</v>
      </c>
      <c r="M259" s="4" t="s">
        <v>131</v>
      </c>
      <c r="N259" t="s">
        <v>132</v>
      </c>
      <c r="O259" s="4" t="s">
        <v>133</v>
      </c>
    </row>
    <row r="260" spans="1:15">
      <c r="A260" s="25" t="str">
        <f>+IF($E$1=1,M260,IF($E$1=2,N260,O260))</f>
        <v xml:space="preserve">   Imatra Steel</v>
      </c>
      <c r="B260" s="36"/>
      <c r="C260" s="36"/>
      <c r="D260" s="36">
        <v>87.266000000000005</v>
      </c>
      <c r="E260" s="36">
        <v>31.696999999999999</v>
      </c>
      <c r="F260" s="36"/>
      <c r="G260" s="36"/>
      <c r="H260" s="36">
        <f>SUM(D260:G260)</f>
        <v>118.96300000000001</v>
      </c>
      <c r="M260" s="65" t="s">
        <v>429</v>
      </c>
      <c r="N260" s="65" t="s">
        <v>429</v>
      </c>
      <c r="O260" s="65" t="s">
        <v>429</v>
      </c>
    </row>
    <row r="261" spans="1:15">
      <c r="A261" s="25"/>
      <c r="B261" s="36"/>
      <c r="C261" s="36"/>
      <c r="D261" s="36"/>
      <c r="E261" s="36"/>
      <c r="F261" s="36"/>
      <c r="G261" s="36"/>
      <c r="H261" s="36"/>
      <c r="M261" s="65"/>
      <c r="N261" s="65"/>
      <c r="O261" s="65"/>
    </row>
    <row r="262" spans="1:15">
      <c r="A262" s="25" t="str">
        <f>+IF($E$1=1,M262,IF($E$1=2,N262,O262))</f>
        <v>Liiketulos</v>
      </c>
      <c r="B262" s="36" t="e">
        <f t="shared" ref="B262:G262" ca="1" si="20">SUM(B263:B264)</f>
        <v>#NAME?</v>
      </c>
      <c r="C262" s="36">
        <f t="shared" si="20"/>
        <v>35.920000000000059</v>
      </c>
      <c r="D262" s="36">
        <f t="shared" si="20"/>
        <v>46.358999999999995</v>
      </c>
      <c r="E262" s="36">
        <f t="shared" si="20"/>
        <v>48.412000000000006</v>
      </c>
      <c r="F262" s="36">
        <f t="shared" si="20"/>
        <v>43.457999999999998</v>
      </c>
      <c r="G262" s="36">
        <f t="shared" si="20"/>
        <v>86.091999999999999</v>
      </c>
      <c r="H262" s="36">
        <f>SUM(D262:G262)</f>
        <v>224.32099999999997</v>
      </c>
      <c r="M262" s="65" t="s">
        <v>796</v>
      </c>
      <c r="N262" s="2" t="s">
        <v>191</v>
      </c>
      <c r="O262" s="6" t="s">
        <v>519</v>
      </c>
    </row>
    <row r="263" spans="1:15">
      <c r="A263" s="25" t="str">
        <f>+IF($E$1=1,M263,IF($E$1=2,N263,O263))</f>
        <v xml:space="preserve">   Power-liiketoiminnat</v>
      </c>
      <c r="B263" s="36" t="e">
        <f ca="1">+B14</f>
        <v>#NAME?</v>
      </c>
      <c r="C263" s="36">
        <f>+C14</f>
        <v>35.920000000000059</v>
      </c>
      <c r="D263" s="36">
        <v>29.276</v>
      </c>
      <c r="E263" s="36">
        <f>43.587</f>
        <v>43.587000000000003</v>
      </c>
      <c r="F263" s="36">
        <f>43.552-0.094</f>
        <v>43.457999999999998</v>
      </c>
      <c r="G263" s="36">
        <v>86.091999999999999</v>
      </c>
      <c r="H263" s="36">
        <f>SUM(D263:G263)+0.094</f>
        <v>202.50700000000001</v>
      </c>
      <c r="M263" s="4" t="s">
        <v>131</v>
      </c>
      <c r="N263" t="s">
        <v>132</v>
      </c>
      <c r="O263" s="4" t="s">
        <v>133</v>
      </c>
    </row>
    <row r="264" spans="1:15">
      <c r="A264" s="25" t="str">
        <f>+IF($E$1=1,M264,IF($E$1=2,N264,O264))</f>
        <v xml:space="preserve">   Imatra Steel</v>
      </c>
      <c r="B264" s="36"/>
      <c r="C264" s="36"/>
      <c r="D264" s="36">
        <v>17.082999999999998</v>
      </c>
      <c r="E264" s="36">
        <f>6.29-1.465</f>
        <v>4.8250000000000002</v>
      </c>
      <c r="F264" s="36"/>
      <c r="G264" s="36"/>
      <c r="H264" s="36">
        <f>SUM(D264:G264)-0.094</f>
        <v>21.813999999999997</v>
      </c>
      <c r="M264" s="65" t="s">
        <v>429</v>
      </c>
      <c r="N264" s="65" t="s">
        <v>429</v>
      </c>
      <c r="O264" s="65" t="s">
        <v>429</v>
      </c>
    </row>
    <row r="265" spans="1:15">
      <c r="A265" s="25"/>
      <c r="B265" s="36"/>
      <c r="C265" s="36"/>
      <c r="D265" s="36"/>
      <c r="E265" s="36"/>
      <c r="F265" s="36"/>
      <c r="G265" s="36"/>
      <c r="H265" s="36"/>
      <c r="M265" s="65"/>
      <c r="N265" s="65"/>
      <c r="O265" s="65"/>
    </row>
    <row r="266" spans="1:15">
      <c r="A266" s="25" t="str">
        <f>+IF($E$1=1,M266,IF($E$1=2,N266,O266))</f>
        <v>Rahoitustuotot ja -kulut</v>
      </c>
      <c r="B266" s="36" t="e">
        <f ca="1">+B15</f>
        <v>#NAME?</v>
      </c>
      <c r="C266" s="36">
        <f>+C15</f>
        <v>-2.58</v>
      </c>
      <c r="D266" s="36">
        <f>+D15</f>
        <v>-9.4480000000000004</v>
      </c>
      <c r="E266" s="36">
        <v>-4.9870000000000001</v>
      </c>
      <c r="F266" s="36">
        <v>-9.9429999999999996</v>
      </c>
      <c r="G266" s="36">
        <v>-4.0259999999999998</v>
      </c>
      <c r="H266" s="36">
        <f>SUM(D266:G266)</f>
        <v>-28.404</v>
      </c>
      <c r="M266" s="6" t="s">
        <v>585</v>
      </c>
      <c r="N266" s="2" t="s">
        <v>187</v>
      </c>
      <c r="O266" s="6" t="s">
        <v>153</v>
      </c>
    </row>
    <row r="267" spans="1:15">
      <c r="A267" s="25" t="str">
        <f>+IF($E$1=1,M267,IF($E$1=2,N267,O267))</f>
        <v>Nettovoitot myytävissä olevista sijoituksista</v>
      </c>
      <c r="B267" s="36"/>
      <c r="C267" s="36"/>
      <c r="D267" s="36"/>
      <c r="E267" s="36"/>
      <c r="F267" s="36">
        <v>0.54300000000000004</v>
      </c>
      <c r="G267" s="36"/>
      <c r="H267" s="36">
        <f>SUM(D267:G267)</f>
        <v>0.54300000000000004</v>
      </c>
      <c r="M267" s="65" t="str">
        <f t="shared" ref="M267:O268" si="21">+M16</f>
        <v>Nettovoitot myytävissä olevista sijoituksista</v>
      </c>
      <c r="N267" s="65" t="str">
        <f t="shared" si="21"/>
        <v>Net income from assets available for sale</v>
      </c>
      <c r="O267" s="65" t="str">
        <f t="shared" si="21"/>
        <v>Nettovinst på tillgångar som kan säljas</v>
      </c>
    </row>
    <row r="268" spans="1:15">
      <c r="A268" s="25" t="str">
        <f>+IF($E$1=1,M268,IF($E$1=2,N268,O268))</f>
        <v>Osuus osakkuusyhtiöiden tuloksesta</v>
      </c>
      <c r="B268" s="36" t="e">
        <f ca="1">+B17</f>
        <v>#NAME?</v>
      </c>
      <c r="C268" s="36">
        <f>+C17</f>
        <v>6.657</v>
      </c>
      <c r="D268" s="36">
        <v>0.36199999999999999</v>
      </c>
      <c r="E268" s="36">
        <v>6.7859999999999996</v>
      </c>
      <c r="F268" s="36">
        <v>2.8730000000000002</v>
      </c>
      <c r="G268" s="36">
        <v>0.88900000000000001</v>
      </c>
      <c r="H268" s="36">
        <f>SUM(D268:G268)</f>
        <v>10.91</v>
      </c>
      <c r="M268" s="65" t="str">
        <f t="shared" si="21"/>
        <v>Osuus osakkuusyhtiöiden tuloksesta</v>
      </c>
      <c r="N268" s="65" t="str">
        <f t="shared" si="21"/>
        <v>Share of profit of associates</v>
      </c>
      <c r="O268" s="65" t="str">
        <f t="shared" si="21"/>
        <v>Resultatandel i intresseföretag</v>
      </c>
    </row>
    <row r="269" spans="1:15">
      <c r="A269" s="25"/>
      <c r="B269" s="36"/>
      <c r="C269" s="36"/>
      <c r="D269" s="36"/>
      <c r="E269" s="36"/>
      <c r="F269" s="36"/>
      <c r="G269" s="36"/>
      <c r="H269" s="36"/>
      <c r="M269" s="65"/>
    </row>
    <row r="270" spans="1:15">
      <c r="A270" s="25" t="str">
        <f>+IF($E$1=1,M270,IF($E$1=2,N270,O270))</f>
        <v>Tulos ennen veroja</v>
      </c>
      <c r="B270" s="36" t="e">
        <f t="shared" ref="B270:G270" ca="1" si="22">SUM(B266:B269)+B262</f>
        <v>#NAME?</v>
      </c>
      <c r="C270" s="36">
        <f t="shared" si="22"/>
        <v>39.997000000000057</v>
      </c>
      <c r="D270" s="36">
        <f t="shared" si="22"/>
        <v>37.272999999999996</v>
      </c>
      <c r="E270" s="36">
        <f t="shared" si="22"/>
        <v>50.211000000000006</v>
      </c>
      <c r="F270" s="36">
        <f t="shared" si="22"/>
        <v>36.930999999999997</v>
      </c>
      <c r="G270" s="36">
        <f t="shared" si="22"/>
        <v>82.954999999999998</v>
      </c>
      <c r="H270" s="36">
        <f>SUM(H266:H269)+H262+0.083</f>
        <v>207.45299999999997</v>
      </c>
      <c r="I270" s="35">
        <f>+E18-H270</f>
        <v>4.9049999999993474</v>
      </c>
      <c r="J270" s="35"/>
      <c r="K270" s="35"/>
      <c r="L270" s="35"/>
      <c r="M270" s="65" t="str">
        <f>+M18</f>
        <v>Tulos ennen veroja</v>
      </c>
      <c r="N270" s="65" t="str">
        <f>+N18</f>
        <v>Profit before taxes</v>
      </c>
      <c r="O270" s="65" t="str">
        <f>+O18</f>
        <v>Resultat före skatter</v>
      </c>
    </row>
    <row r="271" spans="1:15">
      <c r="A271" s="25" t="str">
        <f>+IF($E$1=1,M271,IF($E$1=2,N271,O271))</f>
        <v xml:space="preserve">   Power-liiketoiminnat ja Sijoitukset</v>
      </c>
      <c r="B271" s="36">
        <f>40.24+0.709-0.952</f>
        <v>39.997000000000007</v>
      </c>
      <c r="C271" s="36">
        <f>40.24+0.709-0.952</f>
        <v>39.997000000000007</v>
      </c>
      <c r="D271" s="36">
        <v>25.651</v>
      </c>
      <c r="E271" s="36">
        <f>38.605+6.65</f>
        <v>45.254999999999995</v>
      </c>
      <c r="F271" s="36">
        <f>34.889+3.383-1.247-0.094</f>
        <v>36.931000000000004</v>
      </c>
      <c r="G271" s="36">
        <f>82.124+0.831</f>
        <v>82.954999999999998</v>
      </c>
      <c r="H271" s="36">
        <f>SUM(D271:G271)+0.094+0.083</f>
        <v>190.96899999999997</v>
      </c>
      <c r="M271" s="4" t="s">
        <v>66</v>
      </c>
      <c r="N271" s="47" t="s">
        <v>65</v>
      </c>
      <c r="O271" s="4" t="s">
        <v>67</v>
      </c>
    </row>
    <row r="272" spans="1:15">
      <c r="A272" s="25" t="str">
        <f>+IF($E$1=1,M272,IF($E$1=2,N272,O272))</f>
        <v xml:space="preserve">   Imatra Steel</v>
      </c>
      <c r="B272" s="36"/>
      <c r="C272" s="36"/>
      <c r="D272" s="36">
        <v>16.521000000000001</v>
      </c>
      <c r="E272" s="36">
        <f>6.421-1.465</f>
        <v>4.9560000000000004</v>
      </c>
      <c r="F272" s="153">
        <f>-0.094+0.094</f>
        <v>0</v>
      </c>
      <c r="G272" s="36"/>
      <c r="H272" s="36">
        <f>SUM(D272:G272)-0.094</f>
        <v>21.382999999999999</v>
      </c>
      <c r="M272" s="65" t="s">
        <v>429</v>
      </c>
      <c r="N272" s="65" t="s">
        <v>429</v>
      </c>
      <c r="O272" s="65" t="s">
        <v>429</v>
      </c>
    </row>
    <row r="273" spans="1:15">
      <c r="B273" s="36"/>
      <c r="C273" s="36"/>
      <c r="D273" s="36"/>
      <c r="E273" s="36"/>
      <c r="F273" s="36"/>
      <c r="G273" s="36"/>
      <c r="H273" s="36"/>
    </row>
    <row r="274" spans="1:15">
      <c r="A274" s="34" t="str">
        <f>+IF($E$1=1,M274,IF($E$1=2,N274,O274))</f>
        <v>Tulos/osake, EUR</v>
      </c>
      <c r="B274" s="138">
        <v>0.55000000000000004</v>
      </c>
      <c r="C274" s="138">
        <v>0.55000000000000004</v>
      </c>
      <c r="D274" s="138">
        <v>0.33</v>
      </c>
      <c r="E274" s="138">
        <v>0.4</v>
      </c>
      <c r="F274" s="138">
        <v>0.32</v>
      </c>
      <c r="G274" s="138">
        <v>0.75</v>
      </c>
      <c r="H274" s="138">
        <f>SUM(D274:G274)</f>
        <v>1.8</v>
      </c>
      <c r="M274" s="65" t="str">
        <f>+M28</f>
        <v>Tulos/osake, EUR</v>
      </c>
      <c r="N274" s="65" t="str">
        <f>+N28</f>
        <v>Earnings per share, EUR</v>
      </c>
      <c r="O274" s="65" t="str">
        <f>+O28</f>
        <v>Resultat per aktie, euro</v>
      </c>
    </row>
    <row r="276" spans="1:15">
      <c r="B276" s="76" t="e">
        <f ca="1">SUM(B271:B273)-B270</f>
        <v>#NAME?</v>
      </c>
      <c r="C276" s="76">
        <f t="shared" ref="C276:H276" si="23">SUM(C271:C273)-C270</f>
        <v>0</v>
      </c>
      <c r="D276" s="129">
        <f t="shared" si="23"/>
        <v>4.8990000000000009</v>
      </c>
      <c r="E276" s="129">
        <f t="shared" si="23"/>
        <v>0</v>
      </c>
      <c r="F276" s="129">
        <f t="shared" si="23"/>
        <v>0</v>
      </c>
      <c r="G276" s="71">
        <f t="shared" si="23"/>
        <v>0</v>
      </c>
      <c r="H276" s="71">
        <f t="shared" si="23"/>
        <v>4.8990000000000009</v>
      </c>
    </row>
    <row r="278" spans="1:15">
      <c r="D278" s="35"/>
    </row>
    <row r="291" spans="1:13" ht="18">
      <c r="A291" s="150" t="s">
        <v>148</v>
      </c>
      <c r="B291" s="46" t="s">
        <v>43</v>
      </c>
      <c r="C291" s="46" t="s">
        <v>43</v>
      </c>
      <c r="D291" s="46" t="s">
        <v>42</v>
      </c>
      <c r="E291" s="46" t="s">
        <v>41</v>
      </c>
      <c r="F291" s="46" t="s">
        <v>44</v>
      </c>
      <c r="G291" s="46">
        <v>2005</v>
      </c>
      <c r="H291" s="46" t="s">
        <v>40</v>
      </c>
    </row>
    <row r="292" spans="1:13">
      <c r="A292" t="s">
        <v>149</v>
      </c>
      <c r="B292">
        <f t="shared" ref="B292:H292" si="24">SUM(B293:B295)</f>
        <v>46.358999999999995</v>
      </c>
      <c r="C292">
        <f t="shared" si="24"/>
        <v>46.358999999999995</v>
      </c>
      <c r="D292">
        <f t="shared" si="24"/>
        <v>48.412000000000006</v>
      </c>
      <c r="E292">
        <f t="shared" si="24"/>
        <v>43.457999999999998</v>
      </c>
      <c r="F292">
        <f t="shared" si="24"/>
        <v>86.091999999999999</v>
      </c>
      <c r="G292">
        <f t="shared" si="24"/>
        <v>224.321</v>
      </c>
      <c r="H292">
        <f t="shared" si="24"/>
        <v>35.21</v>
      </c>
    </row>
    <row r="293" spans="1:13">
      <c r="A293" t="s">
        <v>171</v>
      </c>
      <c r="B293">
        <v>29.276</v>
      </c>
      <c r="C293">
        <v>29.276</v>
      </c>
      <c r="D293">
        <v>43.587000000000003</v>
      </c>
      <c r="E293">
        <v>43.552</v>
      </c>
      <c r="F293">
        <v>86.091999999999999</v>
      </c>
      <c r="G293">
        <f>SUM(C293:F293)</f>
        <v>202.50700000000001</v>
      </c>
      <c r="H293">
        <v>35.21</v>
      </c>
    </row>
    <row r="294" spans="1:13">
      <c r="A294" t="s">
        <v>172</v>
      </c>
      <c r="B294">
        <v>17.082999999999998</v>
      </c>
      <c r="C294">
        <v>17.082999999999998</v>
      </c>
      <c r="D294">
        <f>6.29-1.465</f>
        <v>4.8250000000000002</v>
      </c>
      <c r="E294">
        <v>-9.4E-2</v>
      </c>
      <c r="G294">
        <f>SUM(C294:F294)</f>
        <v>21.813999999999997</v>
      </c>
    </row>
    <row r="295" spans="1:13">
      <c r="A295" t="s">
        <v>39</v>
      </c>
    </row>
    <row r="297" spans="1:13">
      <c r="A297" t="s">
        <v>45</v>
      </c>
      <c r="B297">
        <f t="shared" ref="B297:H297" si="25">SUM(B298:B300)</f>
        <v>0.36199999999999999</v>
      </c>
      <c r="C297">
        <f t="shared" si="25"/>
        <v>0.36199999999999999</v>
      </c>
      <c r="D297">
        <f t="shared" si="25"/>
        <v>6.7860000000000005</v>
      </c>
      <c r="E297">
        <f t="shared" si="25"/>
        <v>2.8730000000000002</v>
      </c>
      <c r="F297">
        <f t="shared" si="25"/>
        <v>0.88900000000000001</v>
      </c>
      <c r="G297">
        <f t="shared" si="25"/>
        <v>10.909999999999998</v>
      </c>
      <c r="H297">
        <f t="shared" si="25"/>
        <v>6.657</v>
      </c>
    </row>
    <row r="298" spans="1:13">
      <c r="A298" t="s">
        <v>171</v>
      </c>
      <c r="B298">
        <v>0.36199999999999999</v>
      </c>
      <c r="C298">
        <v>0.36199999999999999</v>
      </c>
      <c r="D298">
        <v>0.13600000000000001</v>
      </c>
      <c r="E298">
        <v>-6.0999999999999999E-2</v>
      </c>
      <c r="F298">
        <v>5.8000000000000003E-2</v>
      </c>
      <c r="G298">
        <f>SUM(C298:F298)</f>
        <v>0.495</v>
      </c>
      <c r="H298">
        <f>6.657-H300</f>
        <v>-1.2999999999999901E-2</v>
      </c>
    </row>
    <row r="299" spans="1:13">
      <c r="A299" t="s">
        <v>172</v>
      </c>
      <c r="G299">
        <f>SUM(C299:F299)</f>
        <v>0</v>
      </c>
    </row>
    <row r="300" spans="1:13">
      <c r="A300" t="s">
        <v>39</v>
      </c>
      <c r="D300">
        <v>6.65</v>
      </c>
      <c r="E300">
        <v>2.9340000000000002</v>
      </c>
      <c r="F300">
        <v>0.83099999999999996</v>
      </c>
      <c r="G300">
        <f>SUM(C300:F300)</f>
        <v>10.414999999999999</v>
      </c>
      <c r="H300">
        <v>6.67</v>
      </c>
    </row>
    <row r="302" spans="1:13">
      <c r="A302" t="s">
        <v>46</v>
      </c>
      <c r="B302">
        <f t="shared" ref="B302:H302" si="26">SUM(B303:B305)</f>
        <v>6.0999999999999999E-2</v>
      </c>
      <c r="C302">
        <f t="shared" si="26"/>
        <v>6.0999999999999999E-2</v>
      </c>
      <c r="D302">
        <f t="shared" si="26"/>
        <v>6.625</v>
      </c>
      <c r="E302">
        <f t="shared" si="26"/>
        <v>0.67500000000000004</v>
      </c>
      <c r="F302">
        <f t="shared" si="26"/>
        <v>0.372</v>
      </c>
      <c r="G302">
        <f t="shared" si="26"/>
        <v>7.7329999999999997</v>
      </c>
      <c r="H302">
        <f t="shared" si="26"/>
        <v>8.5999999999999993E-2</v>
      </c>
      <c r="I302" s="152">
        <f>0.543+7.19</f>
        <v>7.7330000000000005</v>
      </c>
      <c r="J302" s="152"/>
      <c r="K302" s="152"/>
      <c r="L302" s="152"/>
      <c r="M302" s="152"/>
    </row>
    <row r="303" spans="1:13">
      <c r="A303" t="s">
        <v>171</v>
      </c>
      <c r="B303">
        <v>5.8999999999999997E-2</v>
      </c>
      <c r="C303">
        <v>5.8999999999999997E-2</v>
      </c>
      <c r="D303">
        <f>6.545-D305-D304+0.08</f>
        <v>0.76799999999999979</v>
      </c>
      <c r="E303">
        <v>0.13200000000000001</v>
      </c>
      <c r="F303">
        <v>0.372</v>
      </c>
      <c r="G303">
        <f>SUM(C303:F303)</f>
        <v>1.3309999999999997</v>
      </c>
      <c r="H303">
        <v>8.5999999999999993E-2</v>
      </c>
      <c r="I303" s="152"/>
      <c r="J303" s="152"/>
      <c r="K303" s="152"/>
      <c r="L303" s="152"/>
      <c r="M303" s="152"/>
    </row>
    <row r="304" spans="1:13">
      <c r="A304" t="s">
        <v>172</v>
      </c>
      <c r="B304">
        <v>2E-3</v>
      </c>
      <c r="C304">
        <v>2E-3</v>
      </c>
      <c r="D304">
        <v>2.7E-2</v>
      </c>
      <c r="G304">
        <f>SUM(C304:F304)</f>
        <v>2.8999999999999998E-2</v>
      </c>
      <c r="I304" s="152"/>
      <c r="J304" s="152"/>
      <c r="K304" s="152"/>
      <c r="L304" s="152"/>
      <c r="M304" s="152"/>
    </row>
    <row r="305" spans="1:13">
      <c r="A305" t="s">
        <v>39</v>
      </c>
      <c r="D305">
        <v>5.83</v>
      </c>
      <c r="E305">
        <v>0.54300000000000004</v>
      </c>
      <c r="G305">
        <f>SUM(C305:F305)</f>
        <v>6.3730000000000002</v>
      </c>
      <c r="I305" s="152"/>
      <c r="J305" s="152"/>
      <c r="K305" s="152"/>
      <c r="L305" s="152"/>
      <c r="M305" s="152"/>
    </row>
    <row r="306" spans="1:13">
      <c r="I306" s="152"/>
      <c r="J306" s="152"/>
      <c r="K306" s="152"/>
      <c r="L306" s="152"/>
      <c r="M306" s="152"/>
    </row>
    <row r="307" spans="1:13">
      <c r="A307" t="s">
        <v>47</v>
      </c>
      <c r="B307" s="3">
        <f t="shared" ref="B307:H307" si="27">SUM(B308:B310)</f>
        <v>-4.6000000000000005</v>
      </c>
      <c r="C307" s="3">
        <f t="shared" si="27"/>
        <v>-4.6000000000000005</v>
      </c>
      <c r="D307">
        <f t="shared" si="27"/>
        <v>-11.613999999999999</v>
      </c>
      <c r="E307">
        <f t="shared" si="27"/>
        <v>-10.074999999999999</v>
      </c>
      <c r="F307">
        <f t="shared" si="27"/>
        <v>-4.3979999999999997</v>
      </c>
      <c r="G307">
        <f t="shared" si="27"/>
        <v>-30.686999999999998</v>
      </c>
      <c r="H307">
        <f t="shared" si="27"/>
        <v>-2.6659999999999999</v>
      </c>
      <c r="I307" s="152">
        <f>0.436+39.768-70.811</f>
        <v>-30.607000000000006</v>
      </c>
      <c r="J307" s="152"/>
      <c r="K307" s="152"/>
      <c r="L307" s="152"/>
      <c r="M307" s="152">
        <f>+I307-G307</f>
        <v>7.9999999999991189E-2</v>
      </c>
    </row>
    <row r="308" spans="1:13">
      <c r="A308" t="s">
        <v>171</v>
      </c>
      <c r="B308">
        <f>0.4+9.479-13.917</f>
        <v>-4.0380000000000003</v>
      </c>
      <c r="C308">
        <f>0.4+9.479-13.917</f>
        <v>-4.0380000000000003</v>
      </c>
      <c r="D308">
        <f>-0.422+0.054+2.329-13.597-0.08-D310</f>
        <v>-11.872999999999999</v>
      </c>
      <c r="E308">
        <f>-10.075-E310</f>
        <v>-10.347</v>
      </c>
      <c r="F308">
        <f>0.457-0.175+1.341-6.021-F310</f>
        <v>-4.6709999999999994</v>
      </c>
      <c r="G308">
        <f>SUM(C308:F308)</f>
        <v>-30.928999999999998</v>
      </c>
      <c r="H308">
        <f>-2.58-H310-H303</f>
        <v>-2.9329999999999998</v>
      </c>
      <c r="I308" s="152"/>
      <c r="J308" s="152"/>
      <c r="K308" s="152"/>
      <c r="L308" s="152"/>
      <c r="M308" s="152"/>
    </row>
    <row r="309" spans="1:13">
      <c r="A309" t="s">
        <v>172</v>
      </c>
      <c r="B309">
        <v>-0.56200000000000006</v>
      </c>
      <c r="C309">
        <v>-0.56200000000000006</v>
      </c>
      <c r="D309">
        <f>0.311-0.207-0.002</f>
        <v>0.10200000000000001</v>
      </c>
      <c r="G309">
        <f>SUM(C309:F309)</f>
        <v>-0.46000000000000008</v>
      </c>
      <c r="I309" s="78">
        <f>0.773-1.233</f>
        <v>-0.46000000000000008</v>
      </c>
      <c r="J309" s="78"/>
      <c r="K309" s="78"/>
      <c r="L309" s="78"/>
      <c r="M309" s="152"/>
    </row>
    <row r="310" spans="1:13">
      <c r="A310" t="s">
        <v>39</v>
      </c>
      <c r="D310">
        <v>0.157</v>
      </c>
      <c r="E310">
        <v>0.27200000000000002</v>
      </c>
      <c r="F310">
        <v>0.27300000000000002</v>
      </c>
      <c r="G310">
        <f>SUM(C310:F310)</f>
        <v>0.70200000000000007</v>
      </c>
      <c r="H310">
        <v>0.26700000000000002</v>
      </c>
    </row>
    <row r="312" spans="1:13">
      <c r="A312" t="s">
        <v>48</v>
      </c>
      <c r="B312" s="3">
        <f t="shared" ref="B312:H312" si="28">SUM(B313:B315)</f>
        <v>42.181999999999995</v>
      </c>
      <c r="C312" s="3">
        <f t="shared" si="28"/>
        <v>42.181999999999995</v>
      </c>
      <c r="D312">
        <f t="shared" si="28"/>
        <v>50.20900000000001</v>
      </c>
      <c r="E312">
        <f t="shared" si="28"/>
        <v>36.930999999999997</v>
      </c>
      <c r="F312">
        <f t="shared" si="28"/>
        <v>82.954999999999998</v>
      </c>
      <c r="G312">
        <f t="shared" si="28"/>
        <v>212.27699999999999</v>
      </c>
      <c r="H312">
        <f t="shared" si="28"/>
        <v>39.286999999999999</v>
      </c>
    </row>
    <row r="313" spans="1:13">
      <c r="A313" t="s">
        <v>171</v>
      </c>
      <c r="B313">
        <f>+B293+B298+B303+B308</f>
        <v>25.658999999999999</v>
      </c>
      <c r="C313">
        <f t="shared" ref="C313:F315" si="29">+C293+C298+C303+C308</f>
        <v>25.658999999999999</v>
      </c>
      <c r="D313">
        <f t="shared" si="29"/>
        <v>32.618000000000009</v>
      </c>
      <c r="E313">
        <f t="shared" si="29"/>
        <v>33.275999999999996</v>
      </c>
      <c r="F313">
        <f t="shared" si="29"/>
        <v>81.850999999999999</v>
      </c>
      <c r="G313">
        <f>SUM(C313:F313)</f>
        <v>173.404</v>
      </c>
      <c r="H313" s="3">
        <f>+H293+H298+H303+H308</f>
        <v>32.35</v>
      </c>
    </row>
    <row r="314" spans="1:13">
      <c r="A314" t="s">
        <v>172</v>
      </c>
      <c r="B314">
        <f>+B294+B299+B304+B309</f>
        <v>16.522999999999996</v>
      </c>
      <c r="C314">
        <f t="shared" si="29"/>
        <v>16.522999999999996</v>
      </c>
      <c r="D314">
        <f t="shared" si="29"/>
        <v>4.9540000000000006</v>
      </c>
      <c r="E314">
        <f t="shared" si="29"/>
        <v>-9.4E-2</v>
      </c>
      <c r="F314">
        <f t="shared" si="29"/>
        <v>0</v>
      </c>
      <c r="G314">
        <f>SUM(C314:F314)</f>
        <v>21.382999999999996</v>
      </c>
      <c r="H314">
        <f>+H294+H299+H304+H309</f>
        <v>0</v>
      </c>
    </row>
    <row r="315" spans="1:13">
      <c r="A315" t="s">
        <v>39</v>
      </c>
      <c r="B315">
        <f>+B295+B300+B305+B310</f>
        <v>0</v>
      </c>
      <c r="C315">
        <f t="shared" si="29"/>
        <v>0</v>
      </c>
      <c r="D315">
        <f t="shared" si="29"/>
        <v>12.637</v>
      </c>
      <c r="E315">
        <f t="shared" si="29"/>
        <v>3.7490000000000006</v>
      </c>
      <c r="F315">
        <f t="shared" si="29"/>
        <v>1.1040000000000001</v>
      </c>
      <c r="G315">
        <f>SUM(C315:F315)</f>
        <v>17.490000000000002</v>
      </c>
      <c r="H315">
        <f>+H295+H300+H305+H310</f>
        <v>6.9370000000000003</v>
      </c>
    </row>
    <row r="317" spans="1:13">
      <c r="G317" s="151">
        <f>+G312-H270</f>
        <v>4.8240000000000123</v>
      </c>
    </row>
    <row r="318" spans="1:13">
      <c r="G318" s="151">
        <f>+G313+G315-H271</f>
        <v>-7.499999999996021E-2</v>
      </c>
    </row>
    <row r="319" spans="1:13">
      <c r="G319" s="151">
        <f>+G314-H272</f>
        <v>0</v>
      </c>
    </row>
    <row r="325" spans="1:5">
      <c r="A325" t="s">
        <v>493</v>
      </c>
    </row>
    <row r="327" spans="1:5">
      <c r="A327" t="s">
        <v>570</v>
      </c>
    </row>
    <row r="328" spans="1:5">
      <c r="A328" t="s">
        <v>494</v>
      </c>
    </row>
    <row r="329" spans="1:5">
      <c r="A329" t="s">
        <v>569</v>
      </c>
    </row>
    <row r="330" spans="1:5">
      <c r="A330" t="s">
        <v>803</v>
      </c>
    </row>
    <row r="332" spans="1:5">
      <c r="A332" t="s">
        <v>49</v>
      </c>
      <c r="B332" t="s">
        <v>360</v>
      </c>
      <c r="C332" t="s">
        <v>360</v>
      </c>
      <c r="D332" t="s">
        <v>12</v>
      </c>
      <c r="E332">
        <v>2005</v>
      </c>
    </row>
    <row r="334" spans="1:5">
      <c r="A334" t="s">
        <v>50</v>
      </c>
      <c r="B334">
        <v>591.9</v>
      </c>
      <c r="C334">
        <v>591.9</v>
      </c>
      <c r="D334">
        <v>483.8</v>
      </c>
      <c r="E334">
        <v>2520.3000000000002</v>
      </c>
    </row>
    <row r="335" spans="1:5">
      <c r="A335" t="s">
        <v>796</v>
      </c>
      <c r="B335">
        <v>35.9</v>
      </c>
      <c r="C335">
        <v>35.9</v>
      </c>
      <c r="D335">
        <v>29.3</v>
      </c>
      <c r="E335">
        <v>202.5</v>
      </c>
    </row>
    <row r="336" spans="1:5">
      <c r="A336" t="s">
        <v>592</v>
      </c>
      <c r="B336" s="148">
        <f>+B271</f>
        <v>39.997000000000007</v>
      </c>
      <c r="C336" s="148">
        <f>+C271</f>
        <v>39.997000000000007</v>
      </c>
      <c r="D336" s="36">
        <f>+D271</f>
        <v>25.651</v>
      </c>
      <c r="E336" s="36">
        <f>+H271</f>
        <v>190.96899999999997</v>
      </c>
    </row>
    <row r="338" spans="1:8">
      <c r="A338" t="s">
        <v>520</v>
      </c>
      <c r="B338">
        <v>0.55000000000000004</v>
      </c>
      <c r="C338">
        <v>0.55000000000000004</v>
      </c>
      <c r="D338">
        <v>0.33</v>
      </c>
      <c r="E338" s="65">
        <v>1.8</v>
      </c>
    </row>
    <row r="339" spans="1:8">
      <c r="A339" t="s">
        <v>804</v>
      </c>
      <c r="B339">
        <v>435.5</v>
      </c>
      <c r="C339">
        <v>435.5</v>
      </c>
      <c r="D339">
        <v>270.7</v>
      </c>
      <c r="E339">
        <v>255.9</v>
      </c>
    </row>
    <row r="340" spans="1:8">
      <c r="A340" t="s">
        <v>805</v>
      </c>
      <c r="B340">
        <v>39.6</v>
      </c>
      <c r="C340">
        <v>39.6</v>
      </c>
      <c r="D340">
        <v>132.30000000000001</v>
      </c>
      <c r="E340">
        <v>231.1</v>
      </c>
    </row>
    <row r="346" spans="1:8">
      <c r="A346" s="38" t="s">
        <v>492</v>
      </c>
    </row>
    <row r="348" spans="1:8">
      <c r="A348" s="26"/>
    </row>
    <row r="349" spans="1:8">
      <c r="A349" s="121" t="s">
        <v>310</v>
      </c>
      <c r="B349" s="109"/>
      <c r="C349" s="109"/>
      <c r="D349" s="128"/>
      <c r="E349" s="109"/>
      <c r="F349" s="109"/>
      <c r="G349" s="109"/>
      <c r="H349" s="108"/>
    </row>
    <row r="350" spans="1:8">
      <c r="A350" s="25" t="s">
        <v>642</v>
      </c>
      <c r="B350" s="36" t="s">
        <v>360</v>
      </c>
      <c r="C350" s="36" t="s">
        <v>360</v>
      </c>
      <c r="D350" s="36" t="s">
        <v>12</v>
      </c>
      <c r="E350" s="36" t="s">
        <v>630</v>
      </c>
      <c r="F350" s="36" t="s">
        <v>631</v>
      </c>
      <c r="G350" s="36" t="s">
        <v>632</v>
      </c>
      <c r="H350" s="149">
        <v>2005</v>
      </c>
    </row>
    <row r="351" spans="1:8">
      <c r="A351" s="25" t="s">
        <v>583</v>
      </c>
      <c r="B351" s="36">
        <v>591.90800000000002</v>
      </c>
      <c r="C351" s="36">
        <v>591.90800000000002</v>
      </c>
      <c r="D351" s="36">
        <v>570.66800000000001</v>
      </c>
      <c r="E351" s="36">
        <v>686.79499999999996</v>
      </c>
      <c r="F351" s="36">
        <v>607.84699999999998</v>
      </c>
      <c r="G351" s="36">
        <v>773.50400000000002</v>
      </c>
      <c r="H351" s="36">
        <v>2638.8139999999999</v>
      </c>
    </row>
    <row r="352" spans="1:8">
      <c r="A352" s="25" t="s">
        <v>131</v>
      </c>
      <c r="B352" s="36">
        <v>591.90800000000002</v>
      </c>
      <c r="C352" s="36">
        <v>591.90800000000002</v>
      </c>
      <c r="D352" s="36">
        <v>483.74200000000002</v>
      </c>
      <c r="E352" s="36">
        <v>655.23699999999997</v>
      </c>
      <c r="F352" s="36">
        <v>607.84699999999998</v>
      </c>
      <c r="G352" s="36">
        <v>773.50400000000002</v>
      </c>
      <c r="H352" s="36">
        <v>2520.33</v>
      </c>
    </row>
    <row r="353" spans="1:8">
      <c r="A353" s="25" t="s">
        <v>429</v>
      </c>
      <c r="B353" s="36"/>
      <c r="C353" s="36"/>
      <c r="D353" s="36">
        <v>87.266000000000005</v>
      </c>
      <c r="E353" s="36">
        <v>31.696999999999999</v>
      </c>
      <c r="F353" s="36"/>
      <c r="G353" s="36"/>
      <c r="H353" s="36">
        <v>118.96300000000001</v>
      </c>
    </row>
    <row r="354" spans="1:8">
      <c r="A354" s="25"/>
      <c r="B354" s="36"/>
      <c r="C354" s="36"/>
      <c r="D354" s="36"/>
      <c r="E354" s="36"/>
      <c r="F354" s="36"/>
      <c r="G354" s="36"/>
      <c r="H354" s="36"/>
    </row>
    <row r="355" spans="1:8">
      <c r="A355" s="25" t="s">
        <v>796</v>
      </c>
      <c r="B355" s="36">
        <v>35.920000000000059</v>
      </c>
      <c r="C355" s="36">
        <v>35.920000000000059</v>
      </c>
      <c r="D355" s="36">
        <v>46.358999999999995</v>
      </c>
      <c r="E355" s="36">
        <v>48.412000000000006</v>
      </c>
      <c r="F355" s="36">
        <v>43.457999999999998</v>
      </c>
      <c r="G355" s="36">
        <v>86.091999999999999</v>
      </c>
      <c r="H355" s="36">
        <v>224.32099999999997</v>
      </c>
    </row>
    <row r="356" spans="1:8">
      <c r="A356" s="25" t="s">
        <v>131</v>
      </c>
      <c r="B356" s="36">
        <v>35.920000000000059</v>
      </c>
      <c r="C356" s="36">
        <v>35.920000000000059</v>
      </c>
      <c r="D356" s="36">
        <v>29.276</v>
      </c>
      <c r="E356" s="36">
        <v>43.587000000000003</v>
      </c>
      <c r="F356" s="36">
        <v>43.457999999999998</v>
      </c>
      <c r="G356" s="36">
        <v>86.091999999999999</v>
      </c>
      <c r="H356" s="36">
        <v>202.50700000000001</v>
      </c>
    </row>
    <row r="357" spans="1:8">
      <c r="A357" s="25" t="s">
        <v>429</v>
      </c>
      <c r="B357" s="36"/>
      <c r="C357" s="36"/>
      <c r="D357" s="36">
        <v>17.082999999999998</v>
      </c>
      <c r="E357" s="36">
        <v>4.8250000000000002</v>
      </c>
      <c r="F357" s="36"/>
      <c r="G357" s="36"/>
      <c r="H357" s="36">
        <v>21.813999999999997</v>
      </c>
    </row>
    <row r="358" spans="1:8">
      <c r="A358" s="25"/>
      <c r="B358" s="36"/>
      <c r="C358" s="36"/>
      <c r="D358" s="36"/>
      <c r="E358" s="36"/>
      <c r="F358" s="36"/>
      <c r="G358" s="36"/>
      <c r="H358" s="36"/>
    </row>
    <row r="359" spans="1:8">
      <c r="A359" s="25" t="s">
        <v>585</v>
      </c>
      <c r="B359" s="36">
        <v>-2.58</v>
      </c>
      <c r="C359" s="36">
        <v>-2.58</v>
      </c>
      <c r="D359" s="36">
        <v>-4.5430000000000001</v>
      </c>
      <c r="E359" s="36">
        <v>-4.9870000000000001</v>
      </c>
      <c r="F359" s="36">
        <v>-9.9429999999999996</v>
      </c>
      <c r="G359" s="36">
        <v>-4.0259999999999998</v>
      </c>
      <c r="H359" s="36">
        <v>-23.498999999999999</v>
      </c>
    </row>
    <row r="360" spans="1:8">
      <c r="A360" s="25" t="s">
        <v>68</v>
      </c>
      <c r="B360" s="36"/>
      <c r="C360" s="36"/>
      <c r="D360" s="36"/>
      <c r="E360" s="36"/>
      <c r="F360" s="36">
        <v>0.54300000000000004</v>
      </c>
      <c r="G360" s="36"/>
      <c r="H360" s="36">
        <v>0.54300000000000004</v>
      </c>
    </row>
    <row r="361" spans="1:8">
      <c r="A361" s="25" t="s">
        <v>722</v>
      </c>
      <c r="B361" s="36">
        <v>6.657</v>
      </c>
      <c r="C361" s="36">
        <v>6.657</v>
      </c>
      <c r="D361" s="36">
        <v>0.36199999999999999</v>
      </c>
      <c r="E361" s="36">
        <v>6.7859999999999996</v>
      </c>
      <c r="F361" s="36">
        <v>2.8730000000000002</v>
      </c>
      <c r="G361" s="36">
        <v>0.88900000000000001</v>
      </c>
      <c r="H361" s="36">
        <v>10.91</v>
      </c>
    </row>
    <row r="362" spans="1:8">
      <c r="A362" s="25"/>
      <c r="B362" s="36"/>
      <c r="C362" s="36"/>
      <c r="D362" s="36"/>
      <c r="E362" s="36"/>
      <c r="F362" s="36"/>
      <c r="G362" s="36"/>
      <c r="H362" s="36"/>
    </row>
    <row r="363" spans="1:8">
      <c r="A363" s="25" t="s">
        <v>592</v>
      </c>
      <c r="B363" s="36">
        <v>39.997000000000057</v>
      </c>
      <c r="C363" s="36">
        <v>39.997000000000057</v>
      </c>
      <c r="D363" s="36">
        <v>42.177999999999997</v>
      </c>
      <c r="E363" s="36">
        <v>50.211000000000006</v>
      </c>
      <c r="F363" s="36">
        <v>36.930999999999997</v>
      </c>
      <c r="G363" s="36">
        <v>82.954999999999998</v>
      </c>
      <c r="H363" s="36">
        <v>212.27500000000001</v>
      </c>
    </row>
    <row r="364" spans="1:8">
      <c r="A364" s="25" t="s">
        <v>66</v>
      </c>
      <c r="B364" s="36">
        <v>39.997000000000007</v>
      </c>
      <c r="C364" s="36">
        <v>39.997000000000007</v>
      </c>
      <c r="D364" s="36">
        <v>25.651</v>
      </c>
      <c r="E364" s="36">
        <v>45.255000000000003</v>
      </c>
      <c r="F364" s="36">
        <v>37.024999999999999</v>
      </c>
      <c r="G364" s="36">
        <v>82.954999999999998</v>
      </c>
      <c r="H364" s="36">
        <v>190.886</v>
      </c>
    </row>
    <row r="365" spans="1:8">
      <c r="A365" t="s">
        <v>429</v>
      </c>
      <c r="B365" s="36"/>
      <c r="C365" s="36"/>
      <c r="D365" s="36">
        <v>16.521000000000001</v>
      </c>
      <c r="E365" s="36">
        <v>4.9560000000000004</v>
      </c>
      <c r="F365" s="36">
        <v>-9.4E-2</v>
      </c>
      <c r="G365" s="36"/>
      <c r="H365" s="36">
        <v>21.382999999999999</v>
      </c>
    </row>
    <row r="366" spans="1:8">
      <c r="A366" s="34"/>
      <c r="B366" s="138"/>
      <c r="C366" s="138"/>
      <c r="D366" s="138"/>
      <c r="E366" s="138"/>
      <c r="F366" s="138"/>
      <c r="G366" s="138"/>
      <c r="H366" s="138"/>
    </row>
    <row r="367" spans="1:8">
      <c r="A367" t="s">
        <v>322</v>
      </c>
      <c r="B367">
        <v>0.55000000000000004</v>
      </c>
      <c r="C367">
        <v>0.55000000000000004</v>
      </c>
      <c r="D367">
        <v>0.33</v>
      </c>
      <c r="E367">
        <v>0.4</v>
      </c>
      <c r="F367">
        <v>0.32</v>
      </c>
      <c r="G367">
        <v>0.75</v>
      </c>
      <c r="H367">
        <v>1.8</v>
      </c>
    </row>
  </sheetData>
  <phoneticPr fontId="0" type="noConversion"/>
  <pageMargins left="0.75" right="0.75" top="1" bottom="1" header="0.5" footer="0.5"/>
  <pageSetup paperSize="9" scale="85" orientation="portrait" r:id="rId1"/>
  <headerFooter alignWithMargins="0"/>
  <rowBreaks count="3" manualBreakCount="3">
    <brk id="74" max="7" man="1"/>
    <brk id="149" max="7" man="1"/>
    <brk id="221" max="7" man="1"/>
  </rowBreaks>
  <legacyDrawing r:id="rId2"/>
  <extLst>
    <ext xmlns:mx="http://schemas.microsoft.com/office/mac/excel/2008/main" uri="{64002731-A6B0-56B0-2670-7721B7C09600}">
      <mx:PLV Mode="0" OnePage="0" WScale="0"/>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tabColor rgb="FFEBEBEB"/>
  </sheetPr>
  <dimension ref="A1"/>
  <sheetViews>
    <sheetView workbookViewId="0"/>
  </sheetViews>
  <sheetFormatPr defaultColWidth="8.6640625" defaultRowHeight="11.25"/>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Q80"/>
  <sheetViews>
    <sheetView zoomScaleNormal="100" workbookViewId="0">
      <selection sqref="A1:F1"/>
    </sheetView>
  </sheetViews>
  <sheetFormatPr defaultColWidth="37.5" defaultRowHeight="12" customHeight="1"/>
  <cols>
    <col min="1" max="1" width="2.5" style="236" customWidth="1"/>
    <col min="2" max="2" width="74.1640625" style="214" customWidth="1"/>
    <col min="3" max="4" width="18.33203125" style="216" customWidth="1"/>
    <col min="5" max="6" width="8.33203125" style="733" customWidth="1"/>
    <col min="7" max="7" width="5.6640625" style="845" customWidth="1"/>
    <col min="8" max="17" width="3.6640625" style="733" customWidth="1"/>
    <col min="18" max="16384" width="37.5" style="236"/>
  </cols>
  <sheetData>
    <row r="1" spans="1:6" ht="15.75" customHeight="1">
      <c r="A1" s="1252" t="s">
        <v>953</v>
      </c>
      <c r="B1" s="1252"/>
      <c r="C1" s="1252"/>
      <c r="D1" s="1252"/>
      <c r="E1" s="1252"/>
      <c r="F1" s="1252"/>
    </row>
    <row r="2" spans="1:6" ht="11.25" customHeight="1">
      <c r="A2" s="231"/>
      <c r="B2" s="232"/>
      <c r="C2" s="375"/>
      <c r="D2" s="326"/>
    </row>
    <row r="3" spans="1:6" ht="11.25" customHeight="1">
      <c r="A3" s="1260" t="s">
        <v>700</v>
      </c>
      <c r="B3" s="1260"/>
      <c r="C3" s="538">
        <v>2019</v>
      </c>
      <c r="D3" s="208">
        <v>2018</v>
      </c>
      <c r="E3" s="1251" t="s">
        <v>842</v>
      </c>
      <c r="F3" s="1251"/>
    </row>
    <row r="4" spans="1:6" ht="11.25" customHeight="1">
      <c r="A4" s="1241" t="s">
        <v>487</v>
      </c>
      <c r="B4" s="1241"/>
      <c r="C4" s="540">
        <v>218</v>
      </c>
      <c r="D4" s="442">
        <v>386</v>
      </c>
      <c r="E4" s="442"/>
      <c r="F4" s="442"/>
    </row>
    <row r="5" spans="1:6" ht="11.25" customHeight="1">
      <c r="A5" s="899"/>
      <c r="B5" s="899"/>
      <c r="C5" s="540"/>
      <c r="D5" s="442"/>
      <c r="E5" s="442"/>
      <c r="F5" s="442"/>
    </row>
    <row r="6" spans="1:6" ht="11.25" customHeight="1">
      <c r="A6" s="1233" t="s">
        <v>934</v>
      </c>
      <c r="B6" s="1233"/>
      <c r="C6" s="540"/>
      <c r="D6" s="442"/>
      <c r="E6" s="442"/>
      <c r="F6" s="442"/>
    </row>
    <row r="7" spans="1:6" ht="11.25" customHeight="1">
      <c r="A7" s="900"/>
      <c r="B7" s="900"/>
      <c r="C7" s="540"/>
      <c r="D7" s="442"/>
      <c r="E7" s="442"/>
      <c r="F7" s="442"/>
    </row>
    <row r="8" spans="1:6" ht="11.25" customHeight="1">
      <c r="A8" s="1233" t="s">
        <v>1068</v>
      </c>
      <c r="B8" s="1233"/>
      <c r="C8" s="540"/>
      <c r="D8" s="442"/>
      <c r="E8" s="442"/>
      <c r="F8" s="442"/>
    </row>
    <row r="9" spans="1:6" ht="11.25" customHeight="1">
      <c r="A9" s="1223" t="s">
        <v>1097</v>
      </c>
      <c r="B9" s="1223"/>
      <c r="C9" s="540">
        <v>-20</v>
      </c>
      <c r="D9" s="442">
        <v>-3</v>
      </c>
      <c r="E9" s="442"/>
      <c r="F9" s="442"/>
    </row>
    <row r="10" spans="1:6" ht="11.25" customHeight="1">
      <c r="A10" s="1224" t="s">
        <v>992</v>
      </c>
      <c r="B10" s="1224"/>
      <c r="C10" s="536">
        <v>5</v>
      </c>
      <c r="D10" s="433"/>
      <c r="E10" s="433"/>
      <c r="F10" s="433"/>
    </row>
    <row r="11" spans="1:6" ht="11.25" customHeight="1">
      <c r="A11" s="1233" t="s">
        <v>993</v>
      </c>
      <c r="B11" s="1233"/>
      <c r="C11" s="540">
        <v>-16</v>
      </c>
      <c r="D11" s="442">
        <v>-4</v>
      </c>
      <c r="E11" s="442"/>
      <c r="F11" s="442"/>
    </row>
    <row r="12" spans="1:6" ht="11.25" customHeight="1">
      <c r="A12" s="900"/>
      <c r="B12" s="900"/>
      <c r="C12" s="540"/>
      <c r="D12" s="442"/>
      <c r="E12" s="442"/>
      <c r="F12" s="442"/>
    </row>
    <row r="13" spans="1:6" ht="11.25" customHeight="1">
      <c r="A13" s="1233" t="s">
        <v>1067</v>
      </c>
      <c r="B13" s="1233"/>
      <c r="C13" s="540"/>
      <c r="D13" s="442"/>
      <c r="E13" s="442"/>
      <c r="F13" s="442"/>
    </row>
    <row r="14" spans="1:6" ht="11.25" customHeight="1">
      <c r="A14" s="1223" t="s">
        <v>390</v>
      </c>
      <c r="B14" s="1223"/>
      <c r="C14" s="540"/>
      <c r="D14" s="442"/>
      <c r="E14" s="442"/>
      <c r="F14" s="442"/>
    </row>
    <row r="15" spans="1:6" ht="11.25" customHeight="1">
      <c r="A15" s="1229" t="s">
        <v>1157</v>
      </c>
      <c r="B15" s="1229"/>
      <c r="C15" s="540">
        <v>42</v>
      </c>
      <c r="D15" s="442">
        <v>-23</v>
      </c>
      <c r="E15" s="442"/>
      <c r="F15" s="442"/>
    </row>
    <row r="16" spans="1:6" ht="11.25" customHeight="1">
      <c r="A16" s="1229" t="s">
        <v>1149</v>
      </c>
      <c r="B16" s="1229"/>
      <c r="C16" s="540"/>
      <c r="D16" s="442">
        <v>-1</v>
      </c>
      <c r="E16" s="442"/>
      <c r="F16" s="442"/>
    </row>
    <row r="17" spans="1:17" ht="11.25" customHeight="1">
      <c r="A17" s="1237" t="s">
        <v>1177</v>
      </c>
      <c r="B17" s="1237"/>
      <c r="C17" s="540">
        <v>-1</v>
      </c>
      <c r="D17" s="442">
        <v>-1</v>
      </c>
      <c r="E17" s="442"/>
      <c r="F17" s="442"/>
    </row>
    <row r="18" spans="1:17" ht="11.25" customHeight="1">
      <c r="A18" s="1223" t="s">
        <v>448</v>
      </c>
      <c r="B18" s="1223"/>
      <c r="C18" s="540"/>
      <c r="D18" s="442"/>
      <c r="E18" s="442"/>
      <c r="F18" s="442"/>
    </row>
    <row r="19" spans="1:17" ht="11.25" customHeight="1">
      <c r="A19" s="1254" t="s">
        <v>882</v>
      </c>
      <c r="B19" s="1254"/>
      <c r="C19" s="540">
        <v>4</v>
      </c>
      <c r="D19" s="442">
        <v>-17</v>
      </c>
      <c r="E19" s="442"/>
      <c r="F19" s="1196">
        <v>26</v>
      </c>
    </row>
    <row r="20" spans="1:17" ht="11.25" customHeight="1">
      <c r="A20" s="1254" t="s">
        <v>884</v>
      </c>
      <c r="B20" s="1254"/>
      <c r="C20" s="540">
        <v>19</v>
      </c>
      <c r="D20" s="442">
        <v>-8</v>
      </c>
      <c r="E20" s="442"/>
      <c r="F20" s="442"/>
    </row>
    <row r="21" spans="1:17" ht="11.25" customHeight="1">
      <c r="A21" s="1233" t="s">
        <v>1066</v>
      </c>
      <c r="B21" s="1233"/>
      <c r="C21" s="540"/>
      <c r="D21" s="442"/>
      <c r="E21" s="442"/>
      <c r="F21" s="442"/>
    </row>
    <row r="22" spans="1:17" ht="11.25" customHeight="1">
      <c r="A22" s="1223" t="s">
        <v>448</v>
      </c>
      <c r="B22" s="1223"/>
      <c r="C22" s="540"/>
      <c r="D22" s="442"/>
      <c r="E22" s="442"/>
      <c r="F22" s="442"/>
    </row>
    <row r="23" spans="1:17" ht="11.25" customHeight="1">
      <c r="A23" s="1254" t="s">
        <v>882</v>
      </c>
      <c r="B23" s="1254"/>
      <c r="C23" s="540"/>
      <c r="D23" s="442">
        <v>3</v>
      </c>
      <c r="E23" s="442"/>
      <c r="F23" s="442"/>
    </row>
    <row r="24" spans="1:17" ht="11.25" customHeight="1">
      <c r="A24" s="1259" t="s">
        <v>884</v>
      </c>
      <c r="B24" s="1259"/>
      <c r="C24" s="536">
        <v>-4</v>
      </c>
      <c r="D24" s="433">
        <v>2</v>
      </c>
      <c r="E24" s="433"/>
      <c r="F24" s="433"/>
    </row>
    <row r="25" spans="1:17" ht="11.25" customHeight="1">
      <c r="A25" s="1233" t="s">
        <v>994</v>
      </c>
      <c r="B25" s="1233"/>
      <c r="C25" s="540">
        <v>60</v>
      </c>
      <c r="D25" s="442">
        <v>-45</v>
      </c>
      <c r="E25" s="442"/>
      <c r="F25" s="442"/>
    </row>
    <row r="26" spans="1:17" ht="11.25" customHeight="1">
      <c r="A26" s="1223"/>
      <c r="B26" s="1223"/>
      <c r="C26" s="540"/>
      <c r="D26" s="442"/>
      <c r="E26" s="442"/>
      <c r="F26" s="442"/>
    </row>
    <row r="27" spans="1:17" ht="11.25" customHeight="1">
      <c r="A27" s="1241" t="s">
        <v>998</v>
      </c>
      <c r="B27" s="1241"/>
      <c r="C27" s="540">
        <v>45</v>
      </c>
      <c r="D27" s="442">
        <v>-48</v>
      </c>
      <c r="E27" s="442"/>
      <c r="F27" s="442"/>
    </row>
    <row r="28" spans="1:17" s="1156" customFormat="1" ht="11.25" customHeight="1">
      <c r="A28" s="1046"/>
      <c r="B28" s="1036"/>
      <c r="C28" s="536"/>
      <c r="D28" s="433"/>
      <c r="E28" s="433"/>
      <c r="F28" s="433"/>
      <c r="G28" s="845"/>
      <c r="H28" s="733"/>
      <c r="I28" s="733"/>
      <c r="J28" s="733"/>
      <c r="K28" s="733"/>
      <c r="L28" s="733"/>
      <c r="M28" s="733"/>
      <c r="N28" s="733"/>
      <c r="O28" s="733"/>
      <c r="P28" s="733"/>
      <c r="Q28" s="733"/>
    </row>
    <row r="29" spans="1:17" ht="11.25" customHeight="1">
      <c r="A29" s="1256" t="s">
        <v>916</v>
      </c>
      <c r="B29" s="1256"/>
      <c r="C29" s="536">
        <v>263</v>
      </c>
      <c r="D29" s="433">
        <v>338</v>
      </c>
      <c r="E29" s="433"/>
      <c r="F29" s="433"/>
    </row>
    <row r="30" spans="1:17" ht="11.25" customHeight="1">
      <c r="A30" s="953"/>
      <c r="B30" s="892"/>
      <c r="C30" s="540"/>
      <c r="D30" s="442"/>
      <c r="E30" s="442"/>
      <c r="F30" s="442"/>
    </row>
    <row r="31" spans="1:17" ht="11.25" customHeight="1">
      <c r="A31" s="1237" t="s">
        <v>241</v>
      </c>
      <c r="B31" s="1237"/>
      <c r="C31" s="540"/>
      <c r="D31" s="442"/>
      <c r="E31" s="442"/>
      <c r="F31" s="442"/>
    </row>
    <row r="32" spans="1:17" ht="11.25" customHeight="1">
      <c r="A32" s="1229" t="s">
        <v>1095</v>
      </c>
      <c r="B32" s="1229"/>
      <c r="C32" s="540">
        <v>262</v>
      </c>
      <c r="D32" s="442">
        <v>338</v>
      </c>
      <c r="E32" s="442"/>
      <c r="F32" s="442"/>
    </row>
    <row r="33" spans="1:6" ht="11.25" customHeight="1">
      <c r="A33" s="1258" t="s">
        <v>1096</v>
      </c>
      <c r="B33" s="1258"/>
      <c r="C33" s="536">
        <v>1</v>
      </c>
      <c r="D33" s="433"/>
      <c r="E33" s="433"/>
      <c r="F33" s="433"/>
    </row>
    <row r="34" spans="1:6" ht="11.25" customHeight="1">
      <c r="A34" s="953"/>
      <c r="B34" s="954"/>
      <c r="C34" s="540">
        <v>263</v>
      </c>
      <c r="D34" s="442">
        <v>338</v>
      </c>
      <c r="E34" s="442"/>
      <c r="F34" s="442"/>
    </row>
    <row r="35" spans="1:6" ht="11.25" customHeight="1">
      <c r="A35" s="209"/>
      <c r="B35" s="206"/>
      <c r="C35" s="206"/>
      <c r="D35" s="206"/>
    </row>
    <row r="36" spans="1:6" ht="11.25" customHeight="1">
      <c r="A36" s="1239" t="s">
        <v>870</v>
      </c>
      <c r="B36" s="1239"/>
      <c r="C36" s="1239"/>
      <c r="D36" s="1239"/>
    </row>
    <row r="37" spans="1:6" ht="11.25" customHeight="1">
      <c r="B37" s="211"/>
      <c r="C37" s="212"/>
      <c r="D37" s="213"/>
    </row>
    <row r="38" spans="1:6" ht="11.25" customHeight="1">
      <c r="C38" s="215"/>
    </row>
    <row r="39" spans="1:6" ht="11.25" customHeight="1">
      <c r="A39" s="1239"/>
      <c r="B39" s="1239"/>
      <c r="C39" s="1239"/>
      <c r="D39" s="1239"/>
    </row>
    <row r="40" spans="1:6" ht="11.25" customHeight="1">
      <c r="C40" s="215"/>
    </row>
    <row r="52" spans="1:17" s="216" customFormat="1" ht="12" customHeight="1">
      <c r="A52" s="236"/>
      <c r="B52" s="214"/>
      <c r="E52" s="733"/>
      <c r="F52" s="733"/>
      <c r="G52" s="845"/>
      <c r="H52" s="733"/>
      <c r="I52" s="733"/>
      <c r="J52" s="733"/>
      <c r="K52" s="733"/>
      <c r="L52" s="733"/>
      <c r="M52" s="733"/>
      <c r="N52" s="733"/>
      <c r="O52" s="733"/>
      <c r="P52" s="733"/>
      <c r="Q52" s="733"/>
    </row>
    <row r="53" spans="1:17" s="216" customFormat="1" ht="12" customHeight="1">
      <c r="A53" s="236"/>
      <c r="B53" s="214"/>
      <c r="E53" s="733"/>
      <c r="F53" s="733"/>
      <c r="G53" s="845"/>
      <c r="H53" s="733"/>
      <c r="I53" s="733"/>
      <c r="J53" s="733"/>
      <c r="K53" s="733"/>
      <c r="L53" s="733"/>
      <c r="M53" s="733"/>
      <c r="N53" s="733"/>
      <c r="O53" s="733"/>
      <c r="P53" s="733"/>
      <c r="Q53" s="733"/>
    </row>
    <row r="54" spans="1:17" s="216" customFormat="1" ht="12" customHeight="1">
      <c r="A54" s="236"/>
      <c r="B54" s="214"/>
      <c r="E54" s="733"/>
      <c r="F54" s="733"/>
      <c r="G54" s="845"/>
      <c r="H54" s="733"/>
      <c r="I54" s="733"/>
      <c r="J54" s="733"/>
      <c r="K54" s="733"/>
      <c r="L54" s="733"/>
      <c r="M54" s="733"/>
      <c r="N54" s="733"/>
      <c r="O54" s="733"/>
      <c r="P54" s="733"/>
      <c r="Q54" s="733"/>
    </row>
    <row r="55" spans="1:17" s="216" customFormat="1" ht="12" customHeight="1">
      <c r="A55" s="236"/>
      <c r="B55" s="214"/>
      <c r="E55" s="733"/>
      <c r="F55" s="733"/>
      <c r="G55" s="845"/>
      <c r="H55" s="733"/>
      <c r="I55" s="733"/>
      <c r="J55" s="733"/>
      <c r="K55" s="733"/>
      <c r="L55" s="733"/>
      <c r="M55" s="733"/>
      <c r="N55" s="733"/>
      <c r="O55" s="733"/>
      <c r="P55" s="733"/>
      <c r="Q55" s="733"/>
    </row>
    <row r="56" spans="1:17" s="216" customFormat="1" ht="12" customHeight="1">
      <c r="A56" s="236"/>
      <c r="B56" s="214"/>
      <c r="E56" s="733"/>
      <c r="F56" s="733"/>
      <c r="G56" s="845"/>
      <c r="H56" s="733"/>
      <c r="I56" s="733"/>
      <c r="J56" s="733"/>
      <c r="K56" s="733"/>
      <c r="L56" s="733"/>
      <c r="M56" s="733"/>
      <c r="N56" s="733"/>
      <c r="O56" s="733"/>
      <c r="P56" s="733"/>
      <c r="Q56" s="733"/>
    </row>
    <row r="57" spans="1:17" s="216" customFormat="1" ht="12" customHeight="1">
      <c r="A57" s="236"/>
      <c r="B57" s="214"/>
      <c r="E57" s="733"/>
      <c r="F57" s="733"/>
      <c r="G57" s="845"/>
      <c r="H57" s="733"/>
      <c r="I57" s="733"/>
      <c r="J57" s="733"/>
      <c r="K57" s="733"/>
      <c r="L57" s="733"/>
      <c r="M57" s="733"/>
      <c r="N57" s="733"/>
      <c r="O57" s="733"/>
      <c r="P57" s="733"/>
      <c r="Q57" s="733"/>
    </row>
    <row r="58" spans="1:17" s="216" customFormat="1" ht="12" customHeight="1">
      <c r="A58" s="236"/>
      <c r="B58" s="214"/>
      <c r="E58" s="733"/>
      <c r="F58" s="733"/>
      <c r="G58" s="845"/>
      <c r="H58" s="733"/>
      <c r="I58" s="733"/>
      <c r="J58" s="733"/>
      <c r="K58" s="733"/>
      <c r="L58" s="733"/>
      <c r="M58" s="733"/>
      <c r="N58" s="733"/>
      <c r="O58" s="733"/>
      <c r="P58" s="733"/>
      <c r="Q58" s="733"/>
    </row>
    <row r="59" spans="1:17" s="216" customFormat="1" ht="12" customHeight="1">
      <c r="A59" s="236"/>
      <c r="B59" s="214"/>
      <c r="E59" s="733"/>
      <c r="F59" s="733"/>
      <c r="G59" s="845"/>
      <c r="H59" s="733"/>
      <c r="I59" s="733"/>
      <c r="J59" s="733"/>
      <c r="K59" s="733"/>
      <c r="L59" s="733"/>
      <c r="M59" s="733"/>
      <c r="N59" s="733"/>
      <c r="O59" s="733"/>
      <c r="P59" s="733"/>
      <c r="Q59" s="733"/>
    </row>
    <row r="60" spans="1:17" s="216" customFormat="1" ht="12" customHeight="1">
      <c r="A60" s="236"/>
      <c r="B60" s="214"/>
      <c r="E60" s="733"/>
      <c r="F60" s="733"/>
      <c r="G60" s="845"/>
      <c r="H60" s="733"/>
      <c r="I60" s="733"/>
      <c r="J60" s="733"/>
      <c r="K60" s="733"/>
      <c r="L60" s="733"/>
      <c r="M60" s="733"/>
      <c r="N60" s="733"/>
      <c r="O60" s="733"/>
      <c r="P60" s="733"/>
      <c r="Q60" s="733"/>
    </row>
    <row r="61" spans="1:17" s="216" customFormat="1" ht="12" customHeight="1">
      <c r="A61" s="236"/>
      <c r="B61" s="214"/>
      <c r="E61" s="733"/>
      <c r="F61" s="733"/>
      <c r="G61" s="845"/>
      <c r="H61" s="733"/>
      <c r="I61" s="733"/>
      <c r="J61" s="733"/>
      <c r="K61" s="733"/>
      <c r="L61" s="733"/>
      <c r="M61" s="733"/>
      <c r="N61" s="733"/>
      <c r="O61" s="733"/>
      <c r="P61" s="733"/>
      <c r="Q61" s="733"/>
    </row>
    <row r="62" spans="1:17" s="216" customFormat="1" ht="12" customHeight="1">
      <c r="A62" s="236"/>
      <c r="B62" s="214"/>
      <c r="E62" s="733"/>
      <c r="F62" s="733"/>
      <c r="G62" s="845"/>
      <c r="H62" s="733"/>
      <c r="I62" s="733"/>
      <c r="J62" s="733"/>
      <c r="K62" s="733"/>
      <c r="L62" s="733"/>
      <c r="M62" s="733"/>
      <c r="N62" s="733"/>
      <c r="O62" s="733"/>
      <c r="P62" s="733"/>
      <c r="Q62" s="733"/>
    </row>
    <row r="63" spans="1:17" s="216" customFormat="1" ht="12" customHeight="1">
      <c r="A63" s="236"/>
      <c r="B63" s="214"/>
      <c r="E63" s="733"/>
      <c r="F63" s="733"/>
      <c r="G63" s="845"/>
      <c r="H63" s="733"/>
      <c r="I63" s="733"/>
      <c r="J63" s="733"/>
      <c r="K63" s="733"/>
      <c r="L63" s="733"/>
      <c r="M63" s="733"/>
      <c r="N63" s="733"/>
      <c r="O63" s="733"/>
      <c r="P63" s="733"/>
      <c r="Q63" s="733"/>
    </row>
    <row r="64" spans="1:17" s="216" customFormat="1" ht="12" customHeight="1">
      <c r="A64" s="236"/>
      <c r="B64" s="214"/>
      <c r="E64" s="733"/>
      <c r="F64" s="733"/>
      <c r="G64" s="845"/>
      <c r="H64" s="733"/>
      <c r="I64" s="733"/>
      <c r="J64" s="733"/>
      <c r="K64" s="733"/>
      <c r="L64" s="733"/>
      <c r="M64" s="733"/>
      <c r="N64" s="733"/>
      <c r="O64" s="733"/>
      <c r="P64" s="733"/>
      <c r="Q64" s="733"/>
    </row>
    <row r="65" spans="1:17" s="216" customFormat="1" ht="12" customHeight="1">
      <c r="A65" s="236"/>
      <c r="B65" s="214"/>
      <c r="E65" s="733"/>
      <c r="F65" s="733"/>
      <c r="G65" s="845"/>
      <c r="H65" s="733"/>
      <c r="I65" s="733"/>
      <c r="J65" s="733"/>
      <c r="K65" s="733"/>
      <c r="L65" s="733"/>
      <c r="M65" s="733"/>
      <c r="N65" s="733"/>
      <c r="O65" s="733"/>
      <c r="P65" s="733"/>
      <c r="Q65" s="733"/>
    </row>
    <row r="66" spans="1:17" s="216" customFormat="1" ht="12" customHeight="1">
      <c r="A66" s="236"/>
      <c r="B66" s="214"/>
      <c r="E66" s="733"/>
      <c r="F66" s="733"/>
      <c r="G66" s="845"/>
      <c r="H66" s="733"/>
      <c r="I66" s="733"/>
      <c r="J66" s="733"/>
      <c r="K66" s="733"/>
      <c r="L66" s="733"/>
      <c r="M66" s="733"/>
      <c r="N66" s="733"/>
      <c r="O66" s="733"/>
      <c r="P66" s="733"/>
      <c r="Q66" s="733"/>
    </row>
    <row r="67" spans="1:17" s="216" customFormat="1" ht="12" customHeight="1">
      <c r="A67" s="236"/>
      <c r="B67" s="214"/>
      <c r="E67" s="733"/>
      <c r="F67" s="733"/>
      <c r="G67" s="845"/>
      <c r="H67" s="733"/>
      <c r="I67" s="733"/>
      <c r="J67" s="733"/>
      <c r="K67" s="733"/>
      <c r="L67" s="733"/>
      <c r="M67" s="733"/>
      <c r="N67" s="733"/>
      <c r="O67" s="733"/>
      <c r="P67" s="733"/>
      <c r="Q67" s="733"/>
    </row>
    <row r="68" spans="1:17" s="216" customFormat="1" ht="12" customHeight="1">
      <c r="A68" s="236"/>
      <c r="B68" s="214"/>
      <c r="E68" s="733"/>
      <c r="F68" s="733"/>
      <c r="G68" s="845"/>
      <c r="H68" s="733"/>
      <c r="I68" s="733"/>
      <c r="J68" s="733"/>
      <c r="K68" s="733"/>
      <c r="L68" s="733"/>
      <c r="M68" s="733"/>
      <c r="N68" s="733"/>
      <c r="O68" s="733"/>
      <c r="P68" s="733"/>
      <c r="Q68" s="733"/>
    </row>
    <row r="69" spans="1:17" s="216" customFormat="1" ht="12" customHeight="1">
      <c r="A69" s="236"/>
      <c r="B69" s="214"/>
      <c r="E69" s="733"/>
      <c r="F69" s="733"/>
      <c r="G69" s="845"/>
      <c r="H69" s="733"/>
      <c r="I69" s="733"/>
      <c r="J69" s="733"/>
      <c r="K69" s="733"/>
      <c r="L69" s="733"/>
      <c r="M69" s="733"/>
      <c r="N69" s="733"/>
      <c r="O69" s="733"/>
      <c r="P69" s="733"/>
      <c r="Q69" s="733"/>
    </row>
    <row r="70" spans="1:17" s="216" customFormat="1" ht="12" customHeight="1">
      <c r="A70" s="236"/>
      <c r="B70" s="214"/>
      <c r="E70" s="733"/>
      <c r="F70" s="733"/>
      <c r="G70" s="845"/>
      <c r="H70" s="733"/>
      <c r="I70" s="733"/>
      <c r="J70" s="733"/>
      <c r="K70" s="733"/>
      <c r="L70" s="733"/>
      <c r="M70" s="733"/>
      <c r="N70" s="733"/>
      <c r="O70" s="733"/>
      <c r="P70" s="733"/>
      <c r="Q70" s="733"/>
    </row>
    <row r="71" spans="1:17" s="216" customFormat="1" ht="12" customHeight="1">
      <c r="A71" s="236"/>
      <c r="B71" s="214"/>
      <c r="E71" s="733"/>
      <c r="F71" s="733"/>
      <c r="G71" s="845"/>
      <c r="H71" s="733"/>
      <c r="I71" s="733"/>
      <c r="J71" s="733"/>
      <c r="K71" s="733"/>
      <c r="L71" s="733"/>
      <c r="M71" s="733"/>
      <c r="N71" s="733"/>
      <c r="O71" s="733"/>
      <c r="P71" s="733"/>
      <c r="Q71" s="733"/>
    </row>
    <row r="72" spans="1:17" s="216" customFormat="1" ht="12" customHeight="1">
      <c r="A72" s="236"/>
      <c r="B72" s="214"/>
      <c r="E72" s="733"/>
      <c r="F72" s="733"/>
      <c r="G72" s="845"/>
      <c r="H72" s="733"/>
      <c r="I72" s="733"/>
      <c r="J72" s="733"/>
      <c r="K72" s="733"/>
      <c r="L72" s="733"/>
      <c r="M72" s="733"/>
      <c r="N72" s="733"/>
      <c r="O72" s="733"/>
      <c r="P72" s="733"/>
      <c r="Q72" s="733"/>
    </row>
    <row r="73" spans="1:17" s="216" customFormat="1" ht="12" customHeight="1">
      <c r="A73" s="236"/>
      <c r="B73" s="214"/>
      <c r="E73" s="733"/>
      <c r="F73" s="733"/>
      <c r="G73" s="845"/>
      <c r="H73" s="733"/>
      <c r="I73" s="733"/>
      <c r="J73" s="733"/>
      <c r="K73" s="733"/>
      <c r="L73" s="733"/>
      <c r="M73" s="733"/>
      <c r="N73" s="733"/>
      <c r="O73" s="733"/>
      <c r="P73" s="733"/>
      <c r="Q73" s="733"/>
    </row>
    <row r="74" spans="1:17" s="216" customFormat="1" ht="12" customHeight="1">
      <c r="A74" s="236"/>
      <c r="B74" s="214"/>
      <c r="E74" s="733"/>
      <c r="F74" s="733"/>
      <c r="G74" s="845"/>
      <c r="H74" s="733"/>
      <c r="I74" s="733"/>
      <c r="J74" s="733"/>
      <c r="K74" s="733"/>
      <c r="L74" s="733"/>
      <c r="M74" s="733"/>
      <c r="N74" s="733"/>
      <c r="O74" s="733"/>
      <c r="P74" s="733"/>
      <c r="Q74" s="733"/>
    </row>
    <row r="75" spans="1:17" s="216" customFormat="1" ht="12" customHeight="1">
      <c r="A75" s="236"/>
      <c r="B75" s="214"/>
      <c r="E75" s="733"/>
      <c r="F75" s="733"/>
      <c r="G75" s="845"/>
      <c r="H75" s="733"/>
      <c r="I75" s="733"/>
      <c r="J75" s="733"/>
      <c r="K75" s="733"/>
      <c r="L75" s="733"/>
      <c r="M75" s="733"/>
      <c r="N75" s="733"/>
      <c r="O75" s="733"/>
      <c r="P75" s="733"/>
      <c r="Q75" s="733"/>
    </row>
    <row r="76" spans="1:17" s="216" customFormat="1" ht="12" customHeight="1">
      <c r="A76" s="236"/>
      <c r="B76" s="214"/>
      <c r="E76" s="733"/>
      <c r="F76" s="733"/>
      <c r="G76" s="845"/>
      <c r="H76" s="733"/>
      <c r="I76" s="733"/>
      <c r="J76" s="733"/>
      <c r="K76" s="733"/>
      <c r="L76" s="733"/>
      <c r="M76" s="733"/>
      <c r="N76" s="733"/>
      <c r="O76" s="733"/>
      <c r="P76" s="733"/>
      <c r="Q76" s="733"/>
    </row>
    <row r="77" spans="1:17" s="216" customFormat="1" ht="12" customHeight="1">
      <c r="A77" s="236"/>
      <c r="B77" s="214"/>
      <c r="E77" s="733"/>
      <c r="F77" s="733"/>
      <c r="G77" s="845"/>
      <c r="H77" s="733"/>
      <c r="I77" s="733"/>
      <c r="J77" s="733"/>
      <c r="K77" s="733"/>
      <c r="L77" s="733"/>
      <c r="M77" s="733"/>
      <c r="N77" s="733"/>
      <c r="O77" s="733"/>
      <c r="P77" s="733"/>
      <c r="Q77" s="733"/>
    </row>
    <row r="78" spans="1:17" s="216" customFormat="1" ht="12" customHeight="1">
      <c r="A78" s="236"/>
      <c r="B78" s="214"/>
      <c r="E78" s="733"/>
      <c r="F78" s="733"/>
      <c r="G78" s="845"/>
      <c r="H78" s="733"/>
      <c r="I78" s="733"/>
      <c r="J78" s="733"/>
      <c r="K78" s="733"/>
      <c r="L78" s="733"/>
      <c r="M78" s="733"/>
      <c r="N78" s="733"/>
      <c r="O78" s="733"/>
      <c r="P78" s="733"/>
      <c r="Q78" s="733"/>
    </row>
    <row r="79" spans="1:17" s="216" customFormat="1" ht="12" customHeight="1">
      <c r="A79" s="236"/>
      <c r="B79" s="214"/>
      <c r="E79" s="733"/>
      <c r="F79" s="733"/>
      <c r="G79" s="845"/>
      <c r="H79" s="733"/>
      <c r="I79" s="733"/>
      <c r="J79" s="733"/>
      <c r="K79" s="733"/>
      <c r="L79" s="733"/>
      <c r="M79" s="733"/>
      <c r="N79" s="733"/>
      <c r="O79" s="733"/>
      <c r="P79" s="733"/>
      <c r="Q79" s="733"/>
    </row>
    <row r="80" spans="1:17" s="216" customFormat="1" ht="12" customHeight="1">
      <c r="A80" s="236"/>
      <c r="B80" s="214"/>
      <c r="E80" s="733"/>
      <c r="F80" s="733"/>
      <c r="G80" s="845"/>
      <c r="H80" s="733"/>
      <c r="I80" s="733"/>
      <c r="J80" s="733"/>
      <c r="K80" s="733"/>
      <c r="L80" s="733"/>
      <c r="M80" s="733"/>
      <c r="N80" s="733"/>
      <c r="O80" s="733"/>
      <c r="P80" s="733"/>
      <c r="Q80" s="733"/>
    </row>
  </sheetData>
  <mergeCells count="30">
    <mergeCell ref="A1:F1"/>
    <mergeCell ref="A39:D39"/>
    <mergeCell ref="A18:B18"/>
    <mergeCell ref="A36:D36"/>
    <mergeCell ref="A27:B27"/>
    <mergeCell ref="A29:B29"/>
    <mergeCell ref="A31:B31"/>
    <mergeCell ref="A21:B21"/>
    <mergeCell ref="A22:B22"/>
    <mergeCell ref="A26:B26"/>
    <mergeCell ref="A25:B25"/>
    <mergeCell ref="A32:B32"/>
    <mergeCell ref="A33:B33"/>
    <mergeCell ref="E3:F3"/>
    <mergeCell ref="A3:B3"/>
    <mergeCell ref="A4:B4"/>
    <mergeCell ref="A6:B6"/>
    <mergeCell ref="A14:B14"/>
    <mergeCell ref="A8:B8"/>
    <mergeCell ref="A9:B9"/>
    <mergeCell ref="A24:B24"/>
    <mergeCell ref="A13:B13"/>
    <mergeCell ref="A23:B23"/>
    <mergeCell ref="A11:B11"/>
    <mergeCell ref="A10:B10"/>
    <mergeCell ref="A20:B20"/>
    <mergeCell ref="A19:B19"/>
    <mergeCell ref="A15:B15"/>
    <mergeCell ref="A16:B16"/>
    <mergeCell ref="A17:B17"/>
  </mergeCells>
  <hyperlinks>
    <hyperlink ref="F19" r:id="rId1" location="26-equity" display="http://www.wartsilareports.com/en-US/2019/ar/financial-review/financial-statements/consolidated-financial-statements/notes-to-the-consolidated-financial-statements/ - 26-equity" xr:uid="{5A883523-1758-4DEC-859D-03504CC933AA}"/>
  </hyperlinks>
  <printOptions horizontalCentered="1"/>
  <pageMargins left="0.78740157480314965" right="0.82677165354330717" top="0.86614173228346458" bottom="0.39370078740157483" header="0.51181102362204722" footer="0.35433070866141736"/>
  <pageSetup paperSize="9" scale="81" fitToHeight="2" orientation="portrait" horizontalDpi="300" verticalDpi="300" r:id="rId2"/>
  <headerFooter alignWithMargins="0"/>
  <customProperties>
    <customPr name="SheetOptions"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Q229"/>
  <sheetViews>
    <sheetView zoomScaleNormal="100" workbookViewId="0">
      <selection sqref="A1:F1"/>
    </sheetView>
  </sheetViews>
  <sheetFormatPr defaultColWidth="7.6640625" defaultRowHeight="12.75"/>
  <cols>
    <col min="1" max="1" width="68.33203125" style="214" customWidth="1"/>
    <col min="2" max="3" width="18.33203125" style="215" customWidth="1"/>
    <col min="4" max="5" width="8.33203125" style="215" customWidth="1"/>
    <col min="6" max="6" width="8.33203125" style="393" customWidth="1"/>
    <col min="7" max="7" width="8.5" style="733" customWidth="1"/>
    <col min="8" max="17" width="3.6640625" style="733" customWidth="1"/>
    <col min="18" max="16384" width="7.6640625" style="236"/>
  </cols>
  <sheetData>
    <row r="1" spans="1:17" ht="15.75" customHeight="1">
      <c r="A1" s="1252" t="s">
        <v>1179</v>
      </c>
      <c r="B1" s="1252"/>
      <c r="C1" s="1252"/>
      <c r="D1" s="1252"/>
      <c r="E1" s="1252"/>
      <c r="F1" s="1252"/>
    </row>
    <row r="2" spans="1:17" ht="11.25" customHeight="1">
      <c r="A2" s="264"/>
      <c r="B2" s="438"/>
      <c r="C2" s="434"/>
      <c r="D2" s="613"/>
      <c r="E2" s="613"/>
      <c r="F2" s="649"/>
    </row>
    <row r="3" spans="1:17" s="1155" customFormat="1" ht="11.25" customHeight="1">
      <c r="A3" s="898" t="s">
        <v>700</v>
      </c>
      <c r="B3" s="542" t="s">
        <v>1421</v>
      </c>
      <c r="C3" s="266" t="s">
        <v>1253</v>
      </c>
      <c r="D3" s="1262" t="s">
        <v>842</v>
      </c>
      <c r="E3" s="1262"/>
      <c r="F3" s="1262"/>
      <c r="G3" s="733"/>
      <c r="H3" s="733"/>
      <c r="I3" s="733"/>
      <c r="J3" s="733"/>
      <c r="K3" s="733"/>
      <c r="L3" s="733"/>
      <c r="M3" s="733"/>
      <c r="N3" s="733"/>
      <c r="O3" s="733"/>
      <c r="P3" s="733"/>
      <c r="Q3" s="733"/>
    </row>
    <row r="4" spans="1:17" s="1155" customFormat="1" ht="11.25" customHeight="1">
      <c r="A4" s="899" t="s">
        <v>534</v>
      </c>
      <c r="B4" s="684"/>
      <c r="C4" s="685"/>
      <c r="D4" s="468"/>
      <c r="E4" s="468"/>
      <c r="F4" s="468"/>
      <c r="G4" s="733"/>
      <c r="H4" s="733"/>
      <c r="I4" s="733"/>
      <c r="J4" s="733"/>
      <c r="K4" s="733"/>
      <c r="L4" s="733"/>
      <c r="M4" s="733"/>
      <c r="N4" s="733"/>
      <c r="O4" s="733"/>
      <c r="P4" s="733"/>
      <c r="Q4" s="733"/>
    </row>
    <row r="5" spans="1:17" s="1155" customFormat="1" ht="11.25" customHeight="1">
      <c r="A5" s="899"/>
      <c r="B5" s="684"/>
      <c r="C5" s="685"/>
      <c r="D5" s="468"/>
      <c r="E5" s="468"/>
      <c r="F5" s="468"/>
      <c r="G5" s="733"/>
      <c r="H5" s="733"/>
      <c r="I5" s="733"/>
      <c r="J5" s="733"/>
      <c r="K5" s="733"/>
      <c r="L5" s="733"/>
      <c r="M5" s="733"/>
      <c r="N5" s="733"/>
      <c r="O5" s="733"/>
      <c r="P5" s="733"/>
      <c r="Q5" s="733"/>
    </row>
    <row r="6" spans="1:17" s="1155" customFormat="1" ht="11.25" customHeight="1">
      <c r="A6" s="899" t="s">
        <v>19</v>
      </c>
      <c r="B6" s="543"/>
      <c r="C6" s="439"/>
      <c r="D6" s="439"/>
      <c r="E6" s="439"/>
      <c r="F6" s="440"/>
      <c r="G6" s="733"/>
      <c r="H6" s="733"/>
      <c r="I6" s="733"/>
      <c r="J6" s="733"/>
      <c r="K6" s="733"/>
      <c r="L6" s="733"/>
      <c r="M6" s="733"/>
      <c r="N6" s="733"/>
      <c r="O6" s="733"/>
      <c r="P6" s="733"/>
      <c r="Q6" s="733"/>
    </row>
    <row r="7" spans="1:17" s="1155" customFormat="1" ht="11.25" customHeight="1">
      <c r="A7" s="897" t="s">
        <v>840</v>
      </c>
      <c r="B7" s="540">
        <v>1380</v>
      </c>
      <c r="C7" s="442">
        <v>1355</v>
      </c>
      <c r="D7" s="442"/>
      <c r="E7" s="442"/>
      <c r="F7" s="1198">
        <v>14</v>
      </c>
      <c r="G7" s="733"/>
      <c r="H7" s="733"/>
      <c r="I7" s="733"/>
      <c r="J7" s="733"/>
      <c r="K7" s="733"/>
      <c r="L7" s="733"/>
      <c r="M7" s="733"/>
      <c r="N7" s="733"/>
      <c r="O7" s="733"/>
      <c r="P7" s="733"/>
      <c r="Q7" s="733"/>
    </row>
    <row r="8" spans="1:17" s="1155" customFormat="1" ht="11.25" customHeight="1">
      <c r="A8" s="897" t="s">
        <v>522</v>
      </c>
      <c r="B8" s="540">
        <v>397</v>
      </c>
      <c r="C8" s="442">
        <v>392</v>
      </c>
      <c r="D8" s="442"/>
      <c r="E8" s="442"/>
      <c r="F8" s="1198">
        <v>14</v>
      </c>
      <c r="G8" s="733"/>
      <c r="H8" s="733"/>
      <c r="I8" s="733"/>
      <c r="J8" s="733"/>
      <c r="K8" s="733"/>
      <c r="L8" s="733"/>
      <c r="M8" s="733"/>
      <c r="N8" s="733"/>
      <c r="O8" s="733"/>
      <c r="P8" s="733"/>
      <c r="Q8" s="733"/>
    </row>
    <row r="9" spans="1:17" s="1155" customFormat="1" ht="11.25" customHeight="1">
      <c r="A9" s="897" t="s">
        <v>179</v>
      </c>
      <c r="B9" s="727">
        <v>307</v>
      </c>
      <c r="C9" s="442">
        <v>324</v>
      </c>
      <c r="D9" s="442"/>
      <c r="E9" s="442"/>
      <c r="F9" s="1198">
        <v>15</v>
      </c>
      <c r="G9" s="733"/>
      <c r="H9" s="733"/>
      <c r="I9" s="733"/>
      <c r="J9" s="733"/>
      <c r="K9" s="733"/>
      <c r="L9" s="733"/>
      <c r="M9" s="733"/>
      <c r="N9" s="733"/>
      <c r="O9" s="733"/>
      <c r="P9" s="733"/>
      <c r="Q9" s="733"/>
    </row>
    <row r="10" spans="1:17" s="1155" customFormat="1" ht="11.25" customHeight="1">
      <c r="A10" s="897" t="s">
        <v>1403</v>
      </c>
      <c r="B10" s="727">
        <v>185</v>
      </c>
      <c r="C10" s="442"/>
      <c r="D10" s="442"/>
      <c r="E10" s="442"/>
      <c r="F10" s="1198">
        <v>16</v>
      </c>
      <c r="G10" s="838"/>
      <c r="H10" s="838"/>
      <c r="I10" s="838"/>
      <c r="J10" s="838"/>
      <c r="K10" s="838"/>
      <c r="L10" s="838"/>
      <c r="M10" s="838"/>
      <c r="N10" s="838"/>
      <c r="O10" s="838"/>
      <c r="P10" s="838"/>
      <c r="Q10" s="838"/>
    </row>
    <row r="11" spans="1:17" s="1155" customFormat="1" ht="11.25" customHeight="1">
      <c r="A11" s="897" t="s">
        <v>33</v>
      </c>
      <c r="B11" s="540">
        <v>42</v>
      </c>
      <c r="C11" s="442">
        <v>66</v>
      </c>
      <c r="D11" s="442"/>
      <c r="E11" s="442"/>
      <c r="F11" s="1198">
        <v>17</v>
      </c>
      <c r="G11" s="733"/>
      <c r="H11" s="733"/>
      <c r="I11" s="733"/>
      <c r="J11" s="733"/>
      <c r="K11" s="733"/>
      <c r="L11" s="733"/>
      <c r="M11" s="733"/>
      <c r="N11" s="733"/>
      <c r="O11" s="733"/>
      <c r="P11" s="733"/>
      <c r="Q11" s="733"/>
    </row>
    <row r="12" spans="1:17" s="1155" customFormat="1" ht="11.25" customHeight="1">
      <c r="A12" s="897" t="s">
        <v>159</v>
      </c>
      <c r="B12" s="540">
        <v>18</v>
      </c>
      <c r="C12" s="442">
        <v>16</v>
      </c>
      <c r="D12" s="614"/>
      <c r="E12" s="614"/>
      <c r="F12" s="1198">
        <v>18</v>
      </c>
      <c r="G12" s="733"/>
      <c r="H12" s="733"/>
      <c r="I12" s="733"/>
      <c r="J12" s="733"/>
      <c r="K12" s="733"/>
      <c r="L12" s="733"/>
      <c r="M12" s="733"/>
      <c r="N12" s="733"/>
      <c r="O12" s="733"/>
      <c r="P12" s="733"/>
      <c r="Q12" s="733"/>
    </row>
    <row r="13" spans="1:17" s="1155" customFormat="1" ht="11.25" customHeight="1">
      <c r="A13" s="897" t="s">
        <v>336</v>
      </c>
      <c r="B13" s="540">
        <v>1</v>
      </c>
      <c r="C13" s="442">
        <v>3</v>
      </c>
      <c r="D13" s="442"/>
      <c r="E13" s="442"/>
      <c r="F13" s="1198">
        <v>18</v>
      </c>
      <c r="G13" s="733"/>
      <c r="H13" s="733"/>
      <c r="I13" s="733"/>
      <c r="J13" s="733"/>
      <c r="K13" s="733"/>
      <c r="L13" s="733"/>
      <c r="M13" s="733"/>
      <c r="N13" s="733"/>
      <c r="O13" s="733"/>
      <c r="P13" s="733"/>
      <c r="Q13" s="733"/>
    </row>
    <row r="14" spans="1:17" s="1155" customFormat="1" ht="11.25" customHeight="1">
      <c r="A14" s="897" t="s">
        <v>513</v>
      </c>
      <c r="B14" s="540">
        <v>155</v>
      </c>
      <c r="C14" s="442">
        <v>129</v>
      </c>
      <c r="D14" s="442"/>
      <c r="E14" s="442"/>
      <c r="F14" s="1198">
        <v>24</v>
      </c>
      <c r="G14" s="733"/>
      <c r="H14" s="733"/>
      <c r="I14" s="733"/>
      <c r="J14" s="733"/>
      <c r="K14" s="733"/>
      <c r="L14" s="733"/>
      <c r="M14" s="733"/>
      <c r="N14" s="733"/>
      <c r="O14" s="733"/>
      <c r="P14" s="733"/>
      <c r="Q14" s="733"/>
    </row>
    <row r="15" spans="1:17" s="1155" customFormat="1" ht="11.25" customHeight="1">
      <c r="A15" s="897" t="s">
        <v>338</v>
      </c>
      <c r="B15" s="540">
        <v>19</v>
      </c>
      <c r="C15" s="442">
        <v>49</v>
      </c>
      <c r="D15" s="442"/>
      <c r="E15" s="442"/>
      <c r="F15" s="1198">
        <v>18</v>
      </c>
      <c r="G15" s="733"/>
      <c r="H15" s="733"/>
      <c r="I15" s="733"/>
      <c r="J15" s="733"/>
      <c r="K15" s="733"/>
      <c r="L15" s="733"/>
      <c r="M15" s="733"/>
      <c r="N15" s="733"/>
      <c r="O15" s="733"/>
      <c r="P15" s="733"/>
      <c r="Q15" s="733"/>
    </row>
    <row r="16" spans="1:17" s="1155" customFormat="1" ht="11.25" customHeight="1">
      <c r="A16" s="1041" t="s">
        <v>524</v>
      </c>
      <c r="B16" s="536">
        <v>15</v>
      </c>
      <c r="C16" s="433">
        <v>34</v>
      </c>
      <c r="D16" s="433"/>
      <c r="E16" s="1132"/>
      <c r="F16" s="1199">
        <v>21</v>
      </c>
      <c r="G16" s="733"/>
      <c r="H16" s="733"/>
      <c r="I16" s="733"/>
      <c r="J16" s="733"/>
      <c r="K16" s="733"/>
      <c r="L16" s="733"/>
      <c r="M16" s="733"/>
      <c r="N16" s="733"/>
      <c r="O16" s="733"/>
      <c r="P16" s="733"/>
      <c r="Q16" s="733"/>
    </row>
    <row r="17" spans="1:17" s="1155" customFormat="1" ht="11.25" customHeight="1">
      <c r="A17" s="899" t="s">
        <v>1036</v>
      </c>
      <c r="B17" s="540">
        <v>2518</v>
      </c>
      <c r="C17" s="442">
        <v>2369</v>
      </c>
      <c r="D17" s="442"/>
      <c r="E17" s="442"/>
      <c r="F17" s="441"/>
      <c r="G17" s="733"/>
      <c r="H17" s="733"/>
      <c r="I17" s="733"/>
      <c r="J17" s="733"/>
      <c r="K17" s="733"/>
      <c r="L17" s="733"/>
      <c r="M17" s="733"/>
      <c r="N17" s="733"/>
      <c r="O17" s="733"/>
      <c r="P17" s="733"/>
      <c r="Q17" s="733"/>
    </row>
    <row r="18" spans="1:17" s="1155" customFormat="1" ht="11.25" customHeight="1">
      <c r="A18" s="899"/>
      <c r="B18" s="543"/>
      <c r="C18" s="439"/>
      <c r="D18" s="439"/>
      <c r="E18" s="439"/>
      <c r="F18" s="441"/>
      <c r="G18" s="733"/>
      <c r="H18" s="733"/>
      <c r="I18" s="733"/>
      <c r="J18" s="733"/>
      <c r="K18" s="733"/>
      <c r="L18" s="733"/>
      <c r="M18" s="733"/>
      <c r="N18" s="733"/>
      <c r="O18" s="733"/>
      <c r="P18" s="733"/>
      <c r="Q18" s="733"/>
    </row>
    <row r="19" spans="1:17" s="1155" customFormat="1" ht="11.25" customHeight="1">
      <c r="A19" s="899" t="s">
        <v>22</v>
      </c>
      <c r="B19" s="543"/>
      <c r="C19" s="439"/>
      <c r="D19" s="439"/>
      <c r="E19" s="439"/>
      <c r="F19" s="441"/>
      <c r="G19" s="733"/>
      <c r="H19" s="733"/>
      <c r="I19" s="733"/>
      <c r="J19" s="733"/>
      <c r="K19" s="733"/>
      <c r="L19" s="733"/>
      <c r="M19" s="733"/>
      <c r="N19" s="733"/>
      <c r="O19" s="733"/>
      <c r="P19" s="733"/>
      <c r="Q19" s="733"/>
    </row>
    <row r="20" spans="1:17" s="1155" customFormat="1" ht="11.25" customHeight="1">
      <c r="A20" s="897" t="s">
        <v>523</v>
      </c>
      <c r="B20" s="540">
        <v>1365</v>
      </c>
      <c r="C20" s="442">
        <v>1165</v>
      </c>
      <c r="D20" s="442"/>
      <c r="E20" s="442"/>
      <c r="F20" s="1198">
        <v>19</v>
      </c>
      <c r="G20" s="733"/>
      <c r="H20" s="733"/>
      <c r="I20" s="733"/>
      <c r="J20" s="733"/>
      <c r="K20" s="733"/>
      <c r="L20" s="733"/>
      <c r="M20" s="733"/>
      <c r="N20" s="733"/>
      <c r="O20" s="733"/>
      <c r="P20" s="733"/>
      <c r="Q20" s="733"/>
    </row>
    <row r="21" spans="1:17" s="1155" customFormat="1" ht="11.25" customHeight="1">
      <c r="A21" s="897" t="s">
        <v>338</v>
      </c>
      <c r="B21" s="540">
        <v>1237</v>
      </c>
      <c r="C21" s="442">
        <v>1222</v>
      </c>
      <c r="D21" s="442"/>
      <c r="E21" s="1198">
        <v>18</v>
      </c>
      <c r="F21" s="1198">
        <v>20</v>
      </c>
      <c r="G21" s="733"/>
      <c r="H21" s="733"/>
      <c r="I21" s="733"/>
      <c r="J21" s="733"/>
      <c r="K21" s="733"/>
      <c r="L21" s="733"/>
      <c r="M21" s="733"/>
      <c r="N21" s="733"/>
      <c r="O21" s="733"/>
      <c r="P21" s="733"/>
      <c r="Q21" s="733"/>
    </row>
    <row r="22" spans="1:17" s="1155" customFormat="1" ht="11.25" customHeight="1">
      <c r="A22" s="897" t="s">
        <v>954</v>
      </c>
      <c r="B22" s="540">
        <v>42</v>
      </c>
      <c r="C22" s="442">
        <v>31</v>
      </c>
      <c r="D22" s="442"/>
      <c r="E22" s="442"/>
      <c r="F22" s="616"/>
      <c r="G22" s="733"/>
      <c r="H22" s="733"/>
      <c r="I22" s="733"/>
      <c r="J22" s="733"/>
      <c r="K22" s="733"/>
      <c r="L22" s="733"/>
      <c r="M22" s="733"/>
      <c r="N22" s="733"/>
      <c r="O22" s="733"/>
      <c r="P22" s="733"/>
      <c r="Q22" s="733"/>
    </row>
    <row r="23" spans="1:17" s="1155" customFormat="1" ht="11.25" customHeight="1">
      <c r="A23" s="1080" t="s">
        <v>1280</v>
      </c>
      <c r="B23" s="540">
        <v>515</v>
      </c>
      <c r="C23" s="442">
        <v>557</v>
      </c>
      <c r="D23" s="442"/>
      <c r="E23" s="442"/>
      <c r="F23" s="1198">
        <v>20</v>
      </c>
      <c r="G23" s="759"/>
      <c r="H23" s="759"/>
      <c r="I23" s="759"/>
      <c r="J23" s="759"/>
      <c r="K23" s="759"/>
      <c r="L23" s="759"/>
      <c r="M23" s="759"/>
      <c r="N23" s="759"/>
      <c r="O23" s="759"/>
      <c r="P23" s="759"/>
      <c r="Q23" s="759"/>
    </row>
    <row r="24" spans="1:17" s="1155" customFormat="1" ht="11.25" customHeight="1">
      <c r="A24" s="897" t="s">
        <v>524</v>
      </c>
      <c r="B24" s="540">
        <v>281</v>
      </c>
      <c r="C24" s="442">
        <v>228</v>
      </c>
      <c r="D24" s="442"/>
      <c r="E24" s="442"/>
      <c r="F24" s="1198">
        <v>21</v>
      </c>
      <c r="G24" s="733"/>
      <c r="H24" s="733"/>
      <c r="I24" s="733"/>
      <c r="J24" s="733"/>
      <c r="K24" s="733"/>
      <c r="L24" s="733"/>
      <c r="M24" s="733"/>
      <c r="N24" s="733"/>
      <c r="O24" s="733"/>
      <c r="P24" s="733"/>
      <c r="Q24" s="733"/>
    </row>
    <row r="25" spans="1:17" s="1155" customFormat="1" ht="11.25" customHeight="1">
      <c r="A25" s="1041" t="s">
        <v>528</v>
      </c>
      <c r="B25" s="536">
        <v>358</v>
      </c>
      <c r="C25" s="433">
        <v>487</v>
      </c>
      <c r="D25" s="1202"/>
      <c r="E25" s="1199">
        <v>22</v>
      </c>
      <c r="F25" s="1199">
        <v>23</v>
      </c>
      <c r="G25" s="733"/>
      <c r="H25" s="733"/>
      <c r="I25" s="733"/>
      <c r="J25" s="733"/>
      <c r="K25" s="733"/>
      <c r="L25" s="733"/>
      <c r="M25" s="733"/>
      <c r="N25" s="733"/>
      <c r="O25" s="733"/>
      <c r="P25" s="733"/>
      <c r="Q25" s="733"/>
    </row>
    <row r="26" spans="1:17" s="1155" customFormat="1" ht="11.25" customHeight="1">
      <c r="A26" s="899" t="s">
        <v>1035</v>
      </c>
      <c r="B26" s="540">
        <v>3797</v>
      </c>
      <c r="C26" s="442">
        <v>3690</v>
      </c>
      <c r="D26" s="442"/>
      <c r="E26" s="442"/>
      <c r="F26" s="441"/>
      <c r="G26" s="733"/>
      <c r="H26" s="733"/>
      <c r="I26" s="733"/>
      <c r="J26" s="733"/>
      <c r="K26" s="733"/>
      <c r="L26" s="733"/>
      <c r="M26" s="733"/>
      <c r="N26" s="733"/>
      <c r="O26" s="733"/>
      <c r="P26" s="733"/>
      <c r="Q26" s="733"/>
    </row>
    <row r="27" spans="1:17" s="1155" customFormat="1" ht="11.25" customHeight="1">
      <c r="A27" s="1034"/>
      <c r="B27" s="540"/>
      <c r="C27" s="442"/>
      <c r="D27" s="442"/>
      <c r="E27" s="442"/>
      <c r="F27" s="441"/>
      <c r="G27" s="1039"/>
      <c r="H27" s="1039"/>
      <c r="I27" s="1039"/>
      <c r="J27" s="1039"/>
      <c r="K27" s="1039"/>
      <c r="L27" s="1039"/>
      <c r="M27" s="1039"/>
      <c r="N27" s="1039"/>
      <c r="O27" s="1039"/>
      <c r="P27" s="1039"/>
      <c r="Q27" s="1039"/>
    </row>
    <row r="28" spans="1:17" s="1155" customFormat="1" ht="11.25" customHeight="1">
      <c r="A28" s="1033" t="s">
        <v>1039</v>
      </c>
      <c r="B28" s="540">
        <v>82</v>
      </c>
      <c r="C28" s="442"/>
      <c r="D28" s="442"/>
      <c r="E28" s="442"/>
      <c r="F28" s="1198">
        <v>4</v>
      </c>
      <c r="G28" s="1039"/>
      <c r="H28" s="1039"/>
      <c r="I28" s="1039"/>
      <c r="J28" s="1039"/>
      <c r="K28" s="1039"/>
      <c r="L28" s="1039"/>
      <c r="M28" s="1039"/>
      <c r="N28" s="1039"/>
      <c r="O28" s="1039"/>
      <c r="P28" s="1039"/>
      <c r="Q28" s="1039"/>
    </row>
    <row r="29" spans="1:17" s="1155" customFormat="1" ht="11.25" customHeight="1">
      <c r="A29" s="967"/>
      <c r="B29" s="562"/>
      <c r="C29" s="432"/>
      <c r="D29" s="432"/>
      <c r="E29" s="432"/>
      <c r="F29" s="1047"/>
      <c r="G29" s="733"/>
      <c r="H29" s="733"/>
      <c r="I29" s="733"/>
      <c r="J29" s="733"/>
      <c r="K29" s="733"/>
      <c r="L29" s="733"/>
      <c r="M29" s="733"/>
      <c r="N29" s="733"/>
      <c r="O29" s="733"/>
      <c r="P29" s="733"/>
      <c r="Q29" s="733"/>
    </row>
    <row r="30" spans="1:17" s="1155" customFormat="1" ht="11.25" customHeight="1">
      <c r="A30" s="967" t="s">
        <v>410</v>
      </c>
      <c r="B30" s="536">
        <v>6398</v>
      </c>
      <c r="C30" s="433">
        <v>6059</v>
      </c>
      <c r="D30" s="433"/>
      <c r="E30" s="433"/>
      <c r="F30" s="1047"/>
      <c r="G30" s="733"/>
      <c r="H30" s="733"/>
      <c r="I30" s="733"/>
      <c r="J30" s="733"/>
      <c r="K30" s="733"/>
      <c r="L30" s="733"/>
      <c r="M30" s="733"/>
      <c r="N30" s="733"/>
      <c r="O30" s="733"/>
      <c r="P30" s="733"/>
      <c r="Q30" s="733"/>
    </row>
    <row r="31" spans="1:17" ht="11.25" customHeight="1">
      <c r="A31" s="952"/>
      <c r="B31" s="671"/>
      <c r="C31" s="670"/>
      <c r="D31" s="670"/>
      <c r="E31" s="670"/>
      <c r="F31" s="441"/>
    </row>
    <row r="32" spans="1:17" ht="11.25" customHeight="1">
      <c r="A32" s="952"/>
      <c r="B32" s="671"/>
      <c r="C32" s="670"/>
      <c r="D32" s="670"/>
      <c r="E32" s="670"/>
      <c r="F32" s="441"/>
    </row>
    <row r="33" spans="1:17" ht="11.25" customHeight="1">
      <c r="A33" s="899" t="s">
        <v>578</v>
      </c>
      <c r="B33" s="671"/>
      <c r="C33" s="670"/>
      <c r="D33" s="670"/>
      <c r="E33" s="670"/>
      <c r="F33" s="441"/>
    </row>
    <row r="34" spans="1:17" s="1155" customFormat="1" ht="11.25" customHeight="1">
      <c r="A34" s="899"/>
      <c r="B34" s="668"/>
      <c r="C34" s="669"/>
      <c r="D34" s="669"/>
      <c r="E34" s="669"/>
      <c r="F34" s="468"/>
      <c r="G34" s="733"/>
      <c r="H34" s="733"/>
      <c r="I34" s="733"/>
      <c r="J34" s="733"/>
      <c r="K34" s="733"/>
      <c r="L34" s="733"/>
      <c r="M34" s="733"/>
      <c r="N34" s="733"/>
      <c r="O34" s="733"/>
      <c r="P34" s="733"/>
      <c r="Q34" s="733"/>
    </row>
    <row r="35" spans="1:17" s="1155" customFormat="1" ht="11.25" customHeight="1">
      <c r="A35" s="899" t="s">
        <v>315</v>
      </c>
      <c r="B35" s="539"/>
      <c r="C35" s="893"/>
      <c r="D35" s="893"/>
      <c r="E35" s="1194"/>
      <c r="F35" s="441"/>
      <c r="G35" s="733"/>
      <c r="H35" s="733"/>
      <c r="I35" s="733"/>
      <c r="J35" s="733"/>
      <c r="K35" s="733"/>
      <c r="L35" s="733"/>
      <c r="M35" s="733"/>
      <c r="N35" s="733"/>
      <c r="O35" s="733"/>
      <c r="P35" s="733"/>
      <c r="Q35" s="733"/>
    </row>
    <row r="36" spans="1:17" s="1155" customFormat="1" ht="11.25" customHeight="1">
      <c r="A36" s="897" t="s">
        <v>119</v>
      </c>
      <c r="B36" s="540">
        <v>336</v>
      </c>
      <c r="C36" s="442">
        <v>336</v>
      </c>
      <c r="D36" s="442"/>
      <c r="E36" s="442"/>
      <c r="F36" s="1198">
        <v>26</v>
      </c>
      <c r="G36" s="733"/>
      <c r="H36" s="733"/>
      <c r="I36" s="733"/>
      <c r="J36" s="733"/>
      <c r="K36" s="733"/>
      <c r="L36" s="733"/>
      <c r="M36" s="733"/>
      <c r="N36" s="733"/>
      <c r="O36" s="733"/>
      <c r="P36" s="733"/>
      <c r="Q36" s="733"/>
    </row>
    <row r="37" spans="1:17" s="1155" customFormat="1" ht="11.25" customHeight="1">
      <c r="A37" s="897" t="s">
        <v>854</v>
      </c>
      <c r="B37" s="540">
        <v>61</v>
      </c>
      <c r="C37" s="442">
        <v>61</v>
      </c>
      <c r="D37" s="442"/>
      <c r="E37" s="442"/>
      <c r="F37" s="1198">
        <v>26</v>
      </c>
      <c r="G37" s="733"/>
      <c r="H37" s="733"/>
      <c r="I37" s="733"/>
      <c r="J37" s="733"/>
      <c r="K37" s="733"/>
      <c r="L37" s="733"/>
      <c r="M37" s="733"/>
      <c r="N37" s="733"/>
      <c r="O37" s="733"/>
      <c r="P37" s="733"/>
      <c r="Q37" s="733"/>
    </row>
    <row r="38" spans="1:17" s="1155" customFormat="1" ht="11.25" customHeight="1">
      <c r="A38" s="897" t="s">
        <v>370</v>
      </c>
      <c r="B38" s="540">
        <v>-114</v>
      </c>
      <c r="C38" s="442">
        <v>-155</v>
      </c>
      <c r="D38" s="442"/>
      <c r="E38" s="442"/>
      <c r="F38" s="1198">
        <v>26</v>
      </c>
      <c r="G38" s="733"/>
      <c r="H38" s="733"/>
      <c r="I38" s="733"/>
      <c r="J38" s="733"/>
      <c r="K38" s="733"/>
      <c r="L38" s="733"/>
      <c r="M38" s="733"/>
      <c r="N38" s="733"/>
      <c r="O38" s="733"/>
      <c r="P38" s="733"/>
      <c r="Q38" s="733"/>
    </row>
    <row r="39" spans="1:17" s="1155" customFormat="1" ht="11.25" customHeight="1">
      <c r="A39" s="897" t="s">
        <v>339</v>
      </c>
      <c r="B39" s="540">
        <v>-11</v>
      </c>
      <c r="C39" s="442">
        <v>-31</v>
      </c>
      <c r="D39" s="442"/>
      <c r="E39" s="442"/>
      <c r="F39" s="1198">
        <v>26</v>
      </c>
      <c r="G39" s="733"/>
      <c r="H39" s="733"/>
      <c r="I39" s="733"/>
      <c r="J39" s="733"/>
      <c r="K39" s="733"/>
      <c r="L39" s="733"/>
      <c r="M39" s="733"/>
      <c r="N39" s="733"/>
      <c r="O39" s="733"/>
      <c r="P39" s="733"/>
      <c r="Q39" s="733"/>
    </row>
    <row r="40" spans="1:17" s="1155" customFormat="1" ht="11.25" customHeight="1">
      <c r="A40" s="897" t="s">
        <v>1097</v>
      </c>
      <c r="B40" s="540">
        <v>-55</v>
      </c>
      <c r="C40" s="442">
        <v>-39</v>
      </c>
      <c r="D40" s="442"/>
      <c r="E40" s="442"/>
      <c r="F40" s="1198">
        <v>25</v>
      </c>
      <c r="G40" s="733"/>
      <c r="H40" s="733"/>
      <c r="I40" s="733"/>
      <c r="J40" s="733"/>
      <c r="K40" s="733"/>
      <c r="L40" s="733"/>
      <c r="M40" s="733"/>
      <c r="N40" s="733"/>
      <c r="O40" s="733"/>
      <c r="P40" s="733"/>
      <c r="Q40" s="733"/>
    </row>
    <row r="41" spans="1:17" s="1155" customFormat="1" ht="11.25" customHeight="1">
      <c r="A41" s="1041" t="s">
        <v>340</v>
      </c>
      <c r="B41" s="536">
        <v>2178</v>
      </c>
      <c r="C41" s="433">
        <v>2245</v>
      </c>
      <c r="D41" s="433"/>
      <c r="E41" s="1132"/>
      <c r="F41" s="1200"/>
      <c r="G41" s="733"/>
      <c r="H41" s="733"/>
      <c r="I41" s="733"/>
      <c r="J41" s="733"/>
      <c r="K41" s="733"/>
      <c r="L41" s="733"/>
      <c r="M41" s="733"/>
      <c r="N41" s="733"/>
      <c r="O41" s="733"/>
      <c r="P41" s="733"/>
      <c r="Q41" s="733"/>
    </row>
    <row r="42" spans="1:17" s="1155" customFormat="1" ht="11.25" customHeight="1">
      <c r="A42" s="900" t="s">
        <v>879</v>
      </c>
      <c r="B42" s="540">
        <v>2396</v>
      </c>
      <c r="C42" s="442">
        <v>2418</v>
      </c>
      <c r="D42" s="442"/>
      <c r="E42" s="442"/>
      <c r="F42" s="441"/>
      <c r="G42" s="733"/>
      <c r="H42" s="733"/>
      <c r="I42" s="733"/>
      <c r="J42" s="733"/>
      <c r="K42" s="733"/>
      <c r="L42" s="733"/>
      <c r="M42" s="733"/>
      <c r="N42" s="733"/>
      <c r="O42" s="733"/>
      <c r="P42" s="733"/>
      <c r="Q42" s="733"/>
    </row>
    <row r="43" spans="1:17" s="1155" customFormat="1" ht="11.25" customHeight="1">
      <c r="A43" s="897"/>
      <c r="B43" s="539"/>
      <c r="C43" s="893"/>
      <c r="D43" s="893"/>
      <c r="E43" s="893"/>
      <c r="F43" s="441"/>
      <c r="G43" s="733"/>
      <c r="H43" s="733"/>
      <c r="I43" s="733"/>
      <c r="J43" s="733"/>
      <c r="K43" s="733"/>
      <c r="L43" s="733"/>
      <c r="M43" s="733"/>
      <c r="N43" s="733"/>
      <c r="O43" s="733"/>
      <c r="P43" s="733"/>
      <c r="Q43" s="733"/>
    </row>
    <row r="44" spans="1:17" s="1155" customFormat="1" ht="11.25" customHeight="1">
      <c r="A44" s="1041" t="s">
        <v>291</v>
      </c>
      <c r="B44" s="536">
        <v>14</v>
      </c>
      <c r="C44" s="433">
        <v>14</v>
      </c>
      <c r="D44" s="433"/>
      <c r="E44" s="433"/>
      <c r="F44" s="1047"/>
      <c r="G44" s="733"/>
      <c r="H44" s="733"/>
      <c r="I44" s="733"/>
      <c r="J44" s="733"/>
      <c r="K44" s="733"/>
      <c r="L44" s="733"/>
      <c r="M44" s="733"/>
      <c r="N44" s="733"/>
      <c r="O44" s="733"/>
      <c r="P44" s="733"/>
      <c r="Q44" s="733"/>
    </row>
    <row r="45" spans="1:17" s="1155" customFormat="1" ht="11.25" customHeight="1">
      <c r="A45" s="967" t="s">
        <v>32</v>
      </c>
      <c r="B45" s="536">
        <v>2410</v>
      </c>
      <c r="C45" s="433">
        <v>2432</v>
      </c>
      <c r="D45" s="433"/>
      <c r="E45" s="433"/>
      <c r="F45" s="1047"/>
      <c r="G45" s="733"/>
      <c r="H45" s="733"/>
      <c r="I45" s="733"/>
      <c r="J45" s="733"/>
      <c r="K45" s="733"/>
      <c r="L45" s="733"/>
      <c r="M45" s="733"/>
      <c r="N45" s="733"/>
      <c r="O45" s="733"/>
      <c r="P45" s="733"/>
      <c r="Q45" s="733"/>
    </row>
    <row r="46" spans="1:17" s="1155" customFormat="1" ht="11.25" customHeight="1">
      <c r="A46" s="899"/>
      <c r="B46" s="539"/>
      <c r="C46" s="893"/>
      <c r="D46" s="893"/>
      <c r="E46" s="893"/>
      <c r="F46" s="441"/>
      <c r="G46" s="733"/>
      <c r="H46" s="733"/>
      <c r="I46" s="733"/>
      <c r="J46" s="733"/>
      <c r="K46" s="733"/>
      <c r="L46" s="733"/>
      <c r="M46" s="733"/>
      <c r="N46" s="733"/>
      <c r="O46" s="733"/>
      <c r="P46" s="733"/>
      <c r="Q46" s="733"/>
    </row>
    <row r="47" spans="1:17" s="1155" customFormat="1" ht="11.25" customHeight="1">
      <c r="A47" s="899" t="s">
        <v>356</v>
      </c>
      <c r="B47" s="539"/>
      <c r="C47" s="893"/>
      <c r="D47" s="893"/>
      <c r="E47" s="893"/>
      <c r="F47" s="441"/>
      <c r="G47" s="733"/>
      <c r="H47" s="733"/>
      <c r="I47" s="733"/>
      <c r="J47" s="733"/>
      <c r="K47" s="733"/>
      <c r="L47" s="733"/>
      <c r="M47" s="733"/>
      <c r="N47" s="733"/>
      <c r="O47" s="733"/>
      <c r="P47" s="733"/>
      <c r="Q47" s="733"/>
    </row>
    <row r="48" spans="1:17" s="1155" customFormat="1" ht="11.25" customHeight="1">
      <c r="A48" s="1116"/>
      <c r="B48" s="539"/>
      <c r="C48" s="1115"/>
      <c r="D48" s="1115"/>
      <c r="E48" s="1115"/>
      <c r="F48" s="441"/>
      <c r="G48" s="1122"/>
      <c r="H48" s="1122"/>
      <c r="I48" s="1122"/>
      <c r="J48" s="1122"/>
      <c r="K48" s="1122"/>
      <c r="L48" s="1122"/>
      <c r="M48" s="1122"/>
      <c r="N48" s="1122"/>
      <c r="O48" s="1122"/>
      <c r="P48" s="1122"/>
      <c r="Q48" s="1122"/>
    </row>
    <row r="49" spans="1:17" s="1155" customFormat="1" ht="11.25" customHeight="1">
      <c r="A49" s="899" t="s">
        <v>713</v>
      </c>
      <c r="B49" s="539"/>
      <c r="C49" s="1101"/>
      <c r="D49" s="847"/>
      <c r="E49" s="847"/>
      <c r="F49" s="441"/>
      <c r="G49" s="733"/>
      <c r="H49" s="733"/>
      <c r="I49" s="733"/>
      <c r="J49" s="733"/>
      <c r="K49" s="733"/>
      <c r="L49" s="733"/>
      <c r="M49" s="733"/>
      <c r="N49" s="733"/>
      <c r="O49" s="733"/>
      <c r="P49" s="733"/>
      <c r="Q49" s="733"/>
    </row>
    <row r="50" spans="1:17" s="1155" customFormat="1" ht="11.25" customHeight="1">
      <c r="A50" s="897" t="s">
        <v>645</v>
      </c>
      <c r="B50" s="540">
        <v>997</v>
      </c>
      <c r="C50" s="442">
        <v>748</v>
      </c>
      <c r="D50" s="1198">
        <v>18</v>
      </c>
      <c r="E50" s="1198">
        <v>23</v>
      </c>
      <c r="F50" s="1198">
        <v>28</v>
      </c>
      <c r="G50" s="733"/>
      <c r="H50" s="733"/>
      <c r="I50" s="733"/>
      <c r="J50" s="733"/>
      <c r="K50" s="733"/>
      <c r="L50" s="733"/>
      <c r="M50" s="733"/>
      <c r="N50" s="733"/>
      <c r="O50" s="733"/>
      <c r="P50" s="733"/>
      <c r="Q50" s="733"/>
    </row>
    <row r="51" spans="1:17" s="1155" customFormat="1" ht="11.25" customHeight="1">
      <c r="A51" s="897" t="s">
        <v>735</v>
      </c>
      <c r="B51" s="540">
        <v>83</v>
      </c>
      <c r="C51" s="442">
        <v>99</v>
      </c>
      <c r="D51" s="848"/>
      <c r="E51" s="848"/>
      <c r="F51" s="1198">
        <v>24</v>
      </c>
      <c r="G51" s="733"/>
      <c r="H51" s="733"/>
      <c r="I51" s="733"/>
      <c r="J51" s="733"/>
      <c r="K51" s="733"/>
      <c r="L51" s="733"/>
      <c r="M51" s="733"/>
      <c r="N51" s="733"/>
      <c r="O51" s="733"/>
      <c r="P51" s="733"/>
      <c r="Q51" s="733"/>
    </row>
    <row r="52" spans="1:17" s="1155" customFormat="1" ht="11.25" customHeight="1">
      <c r="A52" s="897" t="s">
        <v>341</v>
      </c>
      <c r="B52" s="540">
        <v>155</v>
      </c>
      <c r="C52" s="442">
        <v>149</v>
      </c>
      <c r="D52" s="848"/>
      <c r="E52" s="848"/>
      <c r="F52" s="1198">
        <v>25</v>
      </c>
      <c r="G52" s="733"/>
      <c r="H52" s="733"/>
      <c r="I52" s="733"/>
      <c r="J52" s="733"/>
      <c r="K52" s="733"/>
      <c r="L52" s="733"/>
      <c r="M52" s="733"/>
      <c r="N52" s="733"/>
      <c r="O52" s="733"/>
      <c r="P52" s="733"/>
      <c r="Q52" s="733"/>
    </row>
    <row r="53" spans="1:17" s="1155" customFormat="1" ht="11.25" customHeight="1">
      <c r="A53" s="897" t="s">
        <v>342</v>
      </c>
      <c r="B53" s="540">
        <v>45</v>
      </c>
      <c r="C53" s="442">
        <v>54</v>
      </c>
      <c r="D53" s="848"/>
      <c r="E53" s="848"/>
      <c r="F53" s="1198">
        <v>27</v>
      </c>
      <c r="G53" s="733"/>
      <c r="H53" s="733"/>
      <c r="I53" s="733"/>
      <c r="J53" s="733"/>
      <c r="K53" s="733"/>
      <c r="L53" s="733"/>
      <c r="M53" s="733"/>
      <c r="N53" s="733"/>
      <c r="O53" s="733"/>
      <c r="P53" s="733"/>
      <c r="Q53" s="733"/>
    </row>
    <row r="54" spans="1:17" s="1155" customFormat="1" ht="11.25" customHeight="1">
      <c r="A54" s="897" t="s">
        <v>1281</v>
      </c>
      <c r="B54" s="540">
        <v>38</v>
      </c>
      <c r="C54" s="442">
        <v>41</v>
      </c>
      <c r="D54" s="848"/>
      <c r="E54" s="848"/>
      <c r="F54" s="1198">
        <v>20</v>
      </c>
      <c r="G54" s="733"/>
      <c r="H54" s="733"/>
      <c r="I54" s="733"/>
      <c r="J54" s="733"/>
      <c r="K54" s="733"/>
      <c r="L54" s="733"/>
      <c r="M54" s="733"/>
      <c r="N54" s="733"/>
      <c r="O54" s="733"/>
      <c r="P54" s="733"/>
      <c r="Q54" s="733"/>
    </row>
    <row r="55" spans="1:17" s="1155" customFormat="1" ht="11.25" customHeight="1">
      <c r="A55" s="1041" t="s">
        <v>686</v>
      </c>
      <c r="B55" s="536">
        <v>1</v>
      </c>
      <c r="C55" s="433">
        <v>1</v>
      </c>
      <c r="D55" s="1048"/>
      <c r="E55" s="1201"/>
      <c r="F55" s="1199">
        <v>29</v>
      </c>
      <c r="G55" s="733"/>
      <c r="H55" s="733"/>
      <c r="I55" s="733"/>
      <c r="J55" s="733"/>
      <c r="K55" s="733"/>
      <c r="L55" s="733"/>
      <c r="M55" s="733"/>
      <c r="N55" s="733"/>
      <c r="O55" s="733"/>
      <c r="P55" s="733"/>
      <c r="Q55" s="733"/>
    </row>
    <row r="56" spans="1:17" s="1155" customFormat="1" ht="11.25" customHeight="1">
      <c r="A56" s="899" t="s">
        <v>1023</v>
      </c>
      <c r="B56" s="540">
        <v>1317</v>
      </c>
      <c r="C56" s="442">
        <v>1092</v>
      </c>
      <c r="D56" s="848"/>
      <c r="E56" s="848"/>
      <c r="F56" s="441"/>
      <c r="G56" s="733"/>
      <c r="H56" s="733"/>
      <c r="I56" s="733"/>
      <c r="J56" s="733"/>
      <c r="K56" s="733"/>
      <c r="L56" s="733"/>
      <c r="M56" s="733"/>
      <c r="N56" s="733"/>
      <c r="O56" s="733"/>
      <c r="P56" s="733"/>
      <c r="Q56" s="733"/>
    </row>
    <row r="57" spans="1:17" s="1155" customFormat="1" ht="11.25" customHeight="1">
      <c r="A57" s="897"/>
      <c r="B57" s="540"/>
      <c r="C57" s="442"/>
      <c r="D57" s="848"/>
      <c r="E57" s="848"/>
      <c r="F57" s="441"/>
      <c r="G57" s="733"/>
      <c r="H57" s="733"/>
      <c r="I57" s="733"/>
      <c r="J57" s="733"/>
      <c r="K57" s="733"/>
      <c r="L57" s="733"/>
      <c r="M57" s="733"/>
      <c r="N57" s="733"/>
      <c r="O57" s="733"/>
      <c r="P57" s="733"/>
      <c r="Q57" s="733"/>
    </row>
    <row r="58" spans="1:17" s="1155" customFormat="1" ht="11.25" customHeight="1">
      <c r="A58" s="899" t="s">
        <v>167</v>
      </c>
      <c r="B58" s="539"/>
      <c r="C58" s="1101"/>
      <c r="D58" s="847"/>
      <c r="E58" s="847"/>
      <c r="F58" s="441"/>
      <c r="G58" s="733"/>
      <c r="H58" s="733"/>
      <c r="I58" s="733"/>
      <c r="J58" s="733"/>
      <c r="K58" s="733"/>
      <c r="L58" s="733"/>
      <c r="M58" s="733"/>
      <c r="N58" s="733"/>
      <c r="O58" s="733"/>
      <c r="P58" s="733"/>
      <c r="Q58" s="733"/>
    </row>
    <row r="59" spans="1:17" s="1155" customFormat="1" ht="11.25" customHeight="1">
      <c r="A59" s="897" t="s">
        <v>645</v>
      </c>
      <c r="B59" s="540">
        <v>99</v>
      </c>
      <c r="C59" s="442">
        <v>74</v>
      </c>
      <c r="D59" s="1198">
        <v>18</v>
      </c>
      <c r="E59" s="1198">
        <v>23</v>
      </c>
      <c r="F59" s="1198">
        <v>28</v>
      </c>
      <c r="G59" s="733"/>
      <c r="H59" s="733"/>
      <c r="I59" s="733"/>
      <c r="J59" s="733"/>
      <c r="K59" s="733"/>
      <c r="L59" s="733"/>
      <c r="M59" s="733"/>
      <c r="N59" s="733"/>
      <c r="O59" s="733"/>
      <c r="P59" s="733"/>
      <c r="Q59" s="733"/>
    </row>
    <row r="60" spans="1:17" s="1155" customFormat="1" ht="11.25" customHeight="1">
      <c r="A60" s="897" t="s">
        <v>342</v>
      </c>
      <c r="B60" s="540">
        <v>278</v>
      </c>
      <c r="C60" s="442">
        <v>251</v>
      </c>
      <c r="D60" s="848"/>
      <c r="E60" s="848"/>
      <c r="F60" s="1198">
        <v>27</v>
      </c>
      <c r="G60" s="733"/>
      <c r="H60" s="733"/>
      <c r="I60" s="733"/>
      <c r="J60" s="733"/>
      <c r="K60" s="733"/>
      <c r="L60" s="733"/>
      <c r="M60" s="733"/>
      <c r="N60" s="733"/>
      <c r="O60" s="733"/>
      <c r="P60" s="733"/>
      <c r="Q60" s="733"/>
    </row>
    <row r="61" spans="1:17" s="1155" customFormat="1" ht="11.25" customHeight="1">
      <c r="A61" s="897" t="s">
        <v>344</v>
      </c>
      <c r="B61" s="540">
        <v>624</v>
      </c>
      <c r="C61" s="442">
        <v>596</v>
      </c>
      <c r="D61" s="616"/>
      <c r="E61" s="1198">
        <v>18</v>
      </c>
      <c r="F61" s="1198">
        <v>28</v>
      </c>
      <c r="G61" s="733"/>
      <c r="H61" s="733"/>
      <c r="I61" s="733"/>
      <c r="J61" s="733"/>
      <c r="K61" s="733"/>
      <c r="L61" s="733"/>
      <c r="M61" s="733"/>
      <c r="N61" s="733"/>
      <c r="O61" s="733"/>
      <c r="P61" s="733"/>
      <c r="Q61" s="733"/>
    </row>
    <row r="62" spans="1:17" s="1155" customFormat="1" ht="11.25" customHeight="1">
      <c r="A62" s="897" t="s">
        <v>966</v>
      </c>
      <c r="B62" s="540">
        <v>100</v>
      </c>
      <c r="C62" s="442">
        <v>81</v>
      </c>
      <c r="D62" s="442"/>
      <c r="E62" s="442"/>
      <c r="F62" s="441"/>
      <c r="G62" s="733"/>
      <c r="H62" s="733"/>
      <c r="I62" s="733"/>
      <c r="J62" s="733"/>
      <c r="K62" s="733"/>
      <c r="L62" s="733"/>
      <c r="M62" s="733"/>
      <c r="N62" s="733"/>
      <c r="O62" s="733"/>
      <c r="P62" s="733"/>
      <c r="Q62" s="733"/>
    </row>
    <row r="63" spans="1:17" s="1155" customFormat="1" ht="11.25" customHeight="1">
      <c r="A63" s="897" t="s">
        <v>1281</v>
      </c>
      <c r="B63" s="540">
        <v>880</v>
      </c>
      <c r="C63" s="442">
        <v>888</v>
      </c>
      <c r="D63" s="442"/>
      <c r="E63" s="442"/>
      <c r="F63" s="1198">
        <v>20</v>
      </c>
      <c r="G63" s="759"/>
      <c r="H63" s="759"/>
      <c r="I63" s="759"/>
      <c r="J63" s="759"/>
      <c r="K63" s="759"/>
      <c r="L63" s="759"/>
      <c r="M63" s="759"/>
      <c r="N63" s="759"/>
      <c r="O63" s="759"/>
      <c r="P63" s="759"/>
      <c r="Q63" s="759"/>
    </row>
    <row r="64" spans="1:17" s="1155" customFormat="1" ht="11.25" customHeight="1">
      <c r="A64" s="1041" t="s">
        <v>686</v>
      </c>
      <c r="B64" s="536">
        <v>622</v>
      </c>
      <c r="C64" s="433">
        <v>645</v>
      </c>
      <c r="D64" s="433"/>
      <c r="E64" s="1132"/>
      <c r="F64" s="1199">
        <v>29</v>
      </c>
      <c r="G64" s="733"/>
      <c r="H64" s="733"/>
      <c r="I64" s="733"/>
      <c r="J64" s="733"/>
      <c r="K64" s="733"/>
      <c r="L64" s="733"/>
      <c r="M64" s="733"/>
      <c r="N64" s="733"/>
      <c r="O64" s="733"/>
      <c r="P64" s="733"/>
      <c r="Q64" s="733"/>
    </row>
    <row r="65" spans="1:17" s="1155" customFormat="1" ht="11.25" customHeight="1">
      <c r="A65" s="899" t="s">
        <v>1024</v>
      </c>
      <c r="B65" s="540">
        <v>2603</v>
      </c>
      <c r="C65" s="442">
        <v>2535</v>
      </c>
      <c r="D65" s="442"/>
      <c r="E65" s="442"/>
      <c r="F65" s="440"/>
      <c r="G65" s="733"/>
      <c r="H65" s="733"/>
      <c r="I65" s="733"/>
      <c r="J65" s="733"/>
      <c r="K65" s="733"/>
      <c r="L65" s="733"/>
      <c r="M65" s="733"/>
      <c r="N65" s="733"/>
      <c r="O65" s="733"/>
      <c r="P65" s="733"/>
      <c r="Q65" s="733"/>
    </row>
    <row r="66" spans="1:17" s="1155" customFormat="1" ht="11.25" customHeight="1">
      <c r="A66" s="1041"/>
      <c r="B66" s="1049"/>
      <c r="C66" s="936"/>
      <c r="D66" s="936"/>
      <c r="E66" s="936"/>
      <c r="F66" s="501"/>
      <c r="G66" s="733"/>
      <c r="H66" s="733"/>
      <c r="I66" s="733"/>
      <c r="J66" s="733"/>
      <c r="K66" s="733"/>
      <c r="L66" s="733"/>
      <c r="M66" s="733"/>
      <c r="N66" s="733"/>
      <c r="O66" s="733"/>
      <c r="P66" s="733"/>
      <c r="Q66" s="733"/>
    </row>
    <row r="67" spans="1:17" s="1155" customFormat="1" ht="11.25" customHeight="1">
      <c r="A67" s="967" t="s">
        <v>502</v>
      </c>
      <c r="B67" s="536">
        <v>3920</v>
      </c>
      <c r="C67" s="433">
        <v>3627</v>
      </c>
      <c r="D67" s="433"/>
      <c r="E67" s="433"/>
      <c r="F67" s="501"/>
      <c r="G67" s="733"/>
      <c r="H67" s="733"/>
      <c r="I67" s="733"/>
      <c r="J67" s="733"/>
      <c r="K67" s="733"/>
      <c r="L67" s="733"/>
      <c r="M67" s="733"/>
      <c r="N67" s="733"/>
      <c r="O67" s="733"/>
      <c r="P67" s="733"/>
      <c r="Q67" s="733"/>
    </row>
    <row r="68" spans="1:17" s="1155" customFormat="1" ht="11.25" customHeight="1">
      <c r="A68" s="1034"/>
      <c r="B68" s="540"/>
      <c r="C68" s="442"/>
      <c r="D68" s="442"/>
      <c r="E68" s="442"/>
      <c r="F68" s="471"/>
      <c r="G68" s="1039"/>
      <c r="H68" s="1039"/>
      <c r="I68" s="1039"/>
      <c r="J68" s="1039"/>
      <c r="K68" s="1039"/>
      <c r="L68" s="1039"/>
      <c r="M68" s="1039"/>
      <c r="N68" s="1039"/>
      <c r="O68" s="1039"/>
      <c r="P68" s="1039"/>
      <c r="Q68" s="1039"/>
    </row>
    <row r="69" spans="1:17" s="1155" customFormat="1" ht="11.25" customHeight="1">
      <c r="A69" s="1033" t="s">
        <v>1038</v>
      </c>
      <c r="B69" s="540">
        <v>68</v>
      </c>
      <c r="C69" s="442"/>
      <c r="D69" s="442"/>
      <c r="E69" s="442"/>
      <c r="F69" s="1198">
        <v>4</v>
      </c>
      <c r="G69" s="1039"/>
      <c r="H69" s="1039"/>
      <c r="I69" s="1039"/>
      <c r="J69" s="1039"/>
      <c r="K69" s="1039"/>
      <c r="L69" s="1039"/>
      <c r="M69" s="1039"/>
      <c r="N69" s="1039"/>
      <c r="O69" s="1039"/>
      <c r="P69" s="1039"/>
      <c r="Q69" s="1039"/>
    </row>
    <row r="70" spans="1:17" s="1155" customFormat="1" ht="11.25" customHeight="1">
      <c r="A70" s="967"/>
      <c r="B70" s="1049"/>
      <c r="C70" s="936"/>
      <c r="D70" s="936"/>
      <c r="E70" s="936"/>
      <c r="F70" s="501"/>
      <c r="G70" s="733"/>
      <c r="H70" s="733"/>
      <c r="I70" s="733"/>
      <c r="J70" s="733"/>
      <c r="K70" s="733"/>
      <c r="L70" s="733"/>
      <c r="M70" s="733"/>
      <c r="N70" s="733"/>
      <c r="O70" s="733"/>
      <c r="P70" s="733"/>
      <c r="Q70" s="733"/>
    </row>
    <row r="71" spans="1:17" s="1155" customFormat="1" ht="11.25" customHeight="1">
      <c r="A71" s="967" t="s">
        <v>411</v>
      </c>
      <c r="B71" s="536">
        <v>6398</v>
      </c>
      <c r="C71" s="433">
        <v>6059</v>
      </c>
      <c r="D71" s="433"/>
      <c r="E71" s="433"/>
      <c r="F71" s="501"/>
      <c r="G71" s="733"/>
      <c r="H71" s="733"/>
      <c r="I71" s="733"/>
      <c r="J71" s="733"/>
      <c r="K71" s="733"/>
      <c r="L71" s="733"/>
      <c r="M71" s="733"/>
      <c r="N71" s="733"/>
      <c r="O71" s="733"/>
      <c r="P71" s="733"/>
      <c r="Q71" s="733"/>
    </row>
    <row r="72" spans="1:17" ht="11.25" customHeight="1">
      <c r="A72" s="210"/>
      <c r="B72" s="210"/>
      <c r="C72" s="210"/>
      <c r="D72" s="210"/>
      <c r="E72" s="210"/>
    </row>
    <row r="73" spans="1:17" ht="11.25" customHeight="1">
      <c r="A73" s="1261" t="s">
        <v>870</v>
      </c>
      <c r="B73" s="1261"/>
      <c r="C73" s="1261"/>
      <c r="D73" s="1261"/>
      <c r="E73" s="1261"/>
      <c r="F73" s="1261"/>
    </row>
    <row r="74" spans="1:17" ht="11.25" customHeight="1">
      <c r="B74" s="265"/>
      <c r="C74" s="265"/>
      <c r="D74" s="265"/>
      <c r="E74" s="265"/>
    </row>
    <row r="75" spans="1:17" ht="11.25" customHeight="1">
      <c r="A75" s="1261"/>
      <c r="B75" s="1261"/>
      <c r="C75" s="1261"/>
      <c r="D75" s="1261"/>
      <c r="E75" s="1261"/>
      <c r="F75" s="1261"/>
    </row>
    <row r="76" spans="1:17" ht="11.25" customHeight="1">
      <c r="B76" s="265"/>
      <c r="C76" s="265"/>
      <c r="D76" s="265"/>
      <c r="E76" s="265"/>
    </row>
    <row r="77" spans="1:17">
      <c r="B77" s="265"/>
      <c r="C77" s="265"/>
      <c r="D77" s="265"/>
      <c r="E77" s="265"/>
    </row>
    <row r="78" spans="1:17">
      <c r="B78" s="217"/>
      <c r="C78" s="217"/>
      <c r="D78" s="217"/>
      <c r="E78" s="217"/>
    </row>
    <row r="79" spans="1:17">
      <c r="B79" s="217"/>
      <c r="C79" s="217"/>
      <c r="D79" s="217"/>
      <c r="E79" s="217"/>
    </row>
    <row r="80" spans="1:17">
      <c r="B80" s="217"/>
      <c r="C80" s="217"/>
      <c r="D80" s="217"/>
      <c r="E80" s="217"/>
    </row>
    <row r="81" spans="2:5">
      <c r="B81" s="217"/>
      <c r="C81" s="217"/>
      <c r="D81" s="217"/>
      <c r="E81" s="217"/>
    </row>
    <row r="82" spans="2:5">
      <c r="B82" s="217"/>
      <c r="C82" s="217"/>
      <c r="D82" s="217"/>
      <c r="E82" s="217"/>
    </row>
    <row r="83" spans="2:5">
      <c r="B83" s="217"/>
      <c r="C83" s="217"/>
      <c r="D83" s="217"/>
      <c r="E83" s="217"/>
    </row>
    <row r="84" spans="2:5">
      <c r="B84" s="217"/>
      <c r="C84" s="217"/>
      <c r="D84" s="217"/>
      <c r="E84" s="217"/>
    </row>
    <row r="85" spans="2:5">
      <c r="B85" s="217"/>
      <c r="C85" s="217"/>
      <c r="D85" s="217"/>
      <c r="E85" s="217"/>
    </row>
    <row r="86" spans="2:5">
      <c r="B86" s="217"/>
      <c r="C86" s="217"/>
      <c r="D86" s="217"/>
      <c r="E86" s="217"/>
    </row>
    <row r="87" spans="2:5">
      <c r="B87" s="217"/>
      <c r="C87" s="217"/>
      <c r="D87" s="217"/>
      <c r="E87" s="217"/>
    </row>
    <row r="88" spans="2:5" ht="15" customHeight="1">
      <c r="B88" s="217"/>
      <c r="C88" s="217"/>
      <c r="D88" s="217"/>
      <c r="E88" s="217"/>
    </row>
    <row r="89" spans="2:5">
      <c r="B89" s="217"/>
      <c r="C89" s="217"/>
      <c r="D89" s="217"/>
      <c r="E89" s="217"/>
    </row>
    <row r="90" spans="2:5">
      <c r="B90" s="217"/>
      <c r="C90" s="217"/>
      <c r="D90" s="217"/>
      <c r="E90" s="217"/>
    </row>
    <row r="91" spans="2:5">
      <c r="B91" s="217"/>
      <c r="C91" s="217"/>
      <c r="D91" s="217"/>
      <c r="E91" s="217"/>
    </row>
    <row r="92" spans="2:5">
      <c r="B92" s="217"/>
      <c r="C92" s="217"/>
      <c r="D92" s="217"/>
      <c r="E92" s="217"/>
    </row>
    <row r="93" spans="2:5">
      <c r="B93" s="217"/>
      <c r="C93" s="217"/>
      <c r="D93" s="217"/>
      <c r="E93" s="217"/>
    </row>
    <row r="94" spans="2:5">
      <c r="B94" s="217"/>
      <c r="C94" s="217"/>
      <c r="D94" s="217"/>
      <c r="E94" s="217"/>
    </row>
    <row r="95" spans="2:5">
      <c r="B95" s="217"/>
      <c r="C95" s="217"/>
      <c r="D95" s="217"/>
      <c r="E95" s="217"/>
    </row>
    <row r="96" spans="2:5">
      <c r="B96" s="217"/>
      <c r="C96" s="217"/>
      <c r="D96" s="217"/>
      <c r="E96" s="217"/>
    </row>
    <row r="97" spans="2:5">
      <c r="B97" s="217"/>
      <c r="C97" s="217"/>
      <c r="D97" s="217"/>
      <c r="E97" s="217"/>
    </row>
    <row r="98" spans="2:5">
      <c r="B98" s="217"/>
      <c r="C98" s="217"/>
      <c r="D98" s="217"/>
      <c r="E98" s="217"/>
    </row>
    <row r="99" spans="2:5">
      <c r="B99" s="217"/>
      <c r="C99" s="217"/>
      <c r="D99" s="217"/>
      <c r="E99" s="217"/>
    </row>
    <row r="100" spans="2:5">
      <c r="B100" s="217"/>
      <c r="C100" s="217"/>
      <c r="D100" s="217"/>
      <c r="E100" s="217"/>
    </row>
    <row r="101" spans="2:5">
      <c r="B101" s="217"/>
      <c r="C101" s="217"/>
      <c r="D101" s="217"/>
      <c r="E101" s="217"/>
    </row>
    <row r="102" spans="2:5">
      <c r="B102" s="217"/>
      <c r="C102" s="217"/>
      <c r="D102" s="217"/>
      <c r="E102" s="217"/>
    </row>
    <row r="103" spans="2:5">
      <c r="B103" s="217"/>
      <c r="C103" s="217"/>
      <c r="D103" s="217"/>
      <c r="E103" s="217"/>
    </row>
    <row r="104" spans="2:5">
      <c r="B104" s="217"/>
      <c r="C104" s="217"/>
      <c r="D104" s="217"/>
      <c r="E104" s="217"/>
    </row>
    <row r="105" spans="2:5">
      <c r="B105" s="217"/>
      <c r="C105" s="217"/>
      <c r="D105" s="217"/>
      <c r="E105" s="217"/>
    </row>
    <row r="106" spans="2:5" ht="15" customHeight="1">
      <c r="B106" s="217"/>
      <c r="C106" s="217"/>
      <c r="D106" s="217"/>
      <c r="E106" s="217"/>
    </row>
    <row r="107" spans="2:5">
      <c r="B107" s="217"/>
      <c r="C107" s="217"/>
      <c r="D107" s="217"/>
      <c r="E107" s="217"/>
    </row>
    <row r="108" spans="2:5">
      <c r="B108" s="217"/>
      <c r="C108" s="217"/>
      <c r="D108" s="217"/>
      <c r="E108" s="217"/>
    </row>
    <row r="109" spans="2:5">
      <c r="B109" s="217"/>
      <c r="C109" s="217"/>
      <c r="D109" s="217"/>
      <c r="E109" s="217"/>
    </row>
    <row r="110" spans="2:5">
      <c r="B110" s="217"/>
      <c r="C110" s="217"/>
      <c r="D110" s="217"/>
      <c r="E110" s="217"/>
    </row>
    <row r="111" spans="2:5">
      <c r="B111" s="217"/>
      <c r="C111" s="217"/>
      <c r="D111" s="217"/>
      <c r="E111" s="217"/>
    </row>
    <row r="112" spans="2:5">
      <c r="B112" s="217"/>
      <c r="C112" s="217"/>
      <c r="D112" s="217"/>
      <c r="E112" s="217"/>
    </row>
    <row r="113" spans="2:5">
      <c r="B113" s="217"/>
      <c r="C113" s="217"/>
      <c r="D113" s="217"/>
      <c r="E113" s="217"/>
    </row>
    <row r="114" spans="2:5">
      <c r="B114" s="217"/>
      <c r="C114" s="217"/>
      <c r="D114" s="217"/>
      <c r="E114" s="217"/>
    </row>
    <row r="115" spans="2:5">
      <c r="B115" s="217"/>
      <c r="C115" s="217"/>
      <c r="D115" s="217"/>
      <c r="E115" s="217"/>
    </row>
    <row r="116" spans="2:5">
      <c r="B116" s="217"/>
      <c r="C116" s="217"/>
      <c r="D116" s="217"/>
      <c r="E116" s="217"/>
    </row>
    <row r="117" spans="2:5">
      <c r="B117" s="217"/>
      <c r="C117" s="217"/>
      <c r="D117" s="217"/>
      <c r="E117" s="217"/>
    </row>
    <row r="118" spans="2:5">
      <c r="B118" s="217"/>
      <c r="C118" s="217"/>
      <c r="D118" s="217"/>
      <c r="E118" s="217"/>
    </row>
    <row r="119" spans="2:5">
      <c r="B119" s="217"/>
      <c r="C119" s="217"/>
      <c r="D119" s="217"/>
      <c r="E119" s="217"/>
    </row>
    <row r="120" spans="2:5">
      <c r="B120" s="217"/>
      <c r="C120" s="217"/>
      <c r="D120" s="217"/>
      <c r="E120" s="217"/>
    </row>
    <row r="121" spans="2:5">
      <c r="B121" s="217"/>
      <c r="C121" s="217"/>
      <c r="D121" s="217"/>
      <c r="E121" s="217"/>
    </row>
    <row r="122" spans="2:5">
      <c r="B122" s="217"/>
      <c r="C122" s="217"/>
      <c r="D122" s="217"/>
      <c r="E122" s="217"/>
    </row>
    <row r="123" spans="2:5">
      <c r="B123" s="217"/>
      <c r="C123" s="217"/>
      <c r="D123" s="217"/>
      <c r="E123" s="217"/>
    </row>
    <row r="124" spans="2:5">
      <c r="B124" s="217"/>
      <c r="C124" s="217"/>
      <c r="D124" s="217"/>
      <c r="E124" s="217"/>
    </row>
    <row r="125" spans="2:5">
      <c r="B125" s="217"/>
      <c r="C125" s="217"/>
      <c r="D125" s="217"/>
      <c r="E125" s="217"/>
    </row>
    <row r="126" spans="2:5">
      <c r="B126" s="217"/>
      <c r="C126" s="217"/>
      <c r="D126" s="217"/>
      <c r="E126" s="217"/>
    </row>
    <row r="127" spans="2:5">
      <c r="B127" s="217"/>
      <c r="C127" s="217"/>
      <c r="D127" s="217"/>
      <c r="E127" s="217"/>
    </row>
    <row r="128" spans="2:5">
      <c r="B128" s="217"/>
      <c r="C128" s="217"/>
      <c r="D128" s="217"/>
      <c r="E128" s="217"/>
    </row>
    <row r="129" spans="2:5">
      <c r="B129" s="217"/>
      <c r="C129" s="217"/>
      <c r="D129" s="217"/>
      <c r="E129" s="217"/>
    </row>
    <row r="130" spans="2:5">
      <c r="B130" s="217"/>
      <c r="C130" s="217"/>
      <c r="D130" s="217"/>
      <c r="E130" s="217"/>
    </row>
    <row r="131" spans="2:5">
      <c r="B131" s="217"/>
      <c r="C131" s="217"/>
      <c r="D131" s="217"/>
      <c r="E131" s="217"/>
    </row>
    <row r="132" spans="2:5">
      <c r="B132" s="217"/>
      <c r="C132" s="217"/>
      <c r="D132" s="217"/>
      <c r="E132" s="217"/>
    </row>
    <row r="133" spans="2:5">
      <c r="B133" s="217"/>
      <c r="C133" s="217"/>
      <c r="D133" s="217"/>
      <c r="E133" s="217"/>
    </row>
    <row r="134" spans="2:5">
      <c r="B134" s="217"/>
      <c r="C134" s="217"/>
      <c r="D134" s="217"/>
      <c r="E134" s="217"/>
    </row>
    <row r="135" spans="2:5">
      <c r="B135" s="217"/>
      <c r="C135" s="217"/>
      <c r="D135" s="217"/>
      <c r="E135" s="217"/>
    </row>
    <row r="136" spans="2:5">
      <c r="B136" s="217"/>
      <c r="C136" s="217"/>
      <c r="D136" s="217"/>
      <c r="E136" s="217"/>
    </row>
    <row r="137" spans="2:5">
      <c r="B137" s="217"/>
      <c r="C137" s="217"/>
      <c r="D137" s="217"/>
      <c r="E137" s="217"/>
    </row>
    <row r="138" spans="2:5">
      <c r="B138" s="217"/>
      <c r="C138" s="217"/>
      <c r="D138" s="217"/>
      <c r="E138" s="217"/>
    </row>
    <row r="139" spans="2:5">
      <c r="B139" s="217"/>
      <c r="C139" s="217"/>
      <c r="D139" s="217"/>
      <c r="E139" s="217"/>
    </row>
    <row r="140" spans="2:5">
      <c r="B140" s="217"/>
      <c r="C140" s="217"/>
      <c r="D140" s="217"/>
      <c r="E140" s="217"/>
    </row>
    <row r="141" spans="2:5">
      <c r="B141" s="217"/>
      <c r="C141" s="217"/>
      <c r="D141" s="217"/>
      <c r="E141" s="217"/>
    </row>
    <row r="142" spans="2:5">
      <c r="B142" s="217"/>
      <c r="C142" s="217"/>
      <c r="D142" s="217"/>
      <c r="E142" s="217"/>
    </row>
    <row r="143" spans="2:5">
      <c r="B143" s="217"/>
      <c r="C143" s="217"/>
      <c r="D143" s="217"/>
      <c r="E143" s="217"/>
    </row>
    <row r="144" spans="2:5">
      <c r="B144" s="217"/>
      <c r="C144" s="217"/>
      <c r="D144" s="217"/>
      <c r="E144" s="217"/>
    </row>
    <row r="145" spans="2:5">
      <c r="B145" s="217"/>
      <c r="C145" s="217"/>
      <c r="D145" s="217"/>
      <c r="E145" s="217"/>
    </row>
    <row r="146" spans="2:5">
      <c r="B146" s="217"/>
      <c r="C146" s="217"/>
      <c r="D146" s="217"/>
      <c r="E146" s="217"/>
    </row>
    <row r="147" spans="2:5">
      <c r="B147" s="217"/>
      <c r="C147" s="217"/>
      <c r="D147" s="217"/>
      <c r="E147" s="217"/>
    </row>
    <row r="148" spans="2:5">
      <c r="B148" s="217"/>
      <c r="C148" s="217"/>
      <c r="D148" s="217"/>
      <c r="E148" s="217"/>
    </row>
    <row r="149" spans="2:5">
      <c r="B149" s="217"/>
      <c r="C149" s="217"/>
      <c r="D149" s="217"/>
      <c r="E149" s="217"/>
    </row>
    <row r="150" spans="2:5">
      <c r="B150" s="217"/>
      <c r="C150" s="217"/>
      <c r="D150" s="217"/>
      <c r="E150" s="217"/>
    </row>
    <row r="151" spans="2:5">
      <c r="B151" s="217"/>
      <c r="C151" s="217"/>
      <c r="D151" s="217"/>
      <c r="E151" s="217"/>
    </row>
    <row r="152" spans="2:5">
      <c r="B152" s="217"/>
      <c r="C152" s="217"/>
      <c r="D152" s="217"/>
      <c r="E152" s="217"/>
    </row>
    <row r="153" spans="2:5">
      <c r="B153" s="217"/>
      <c r="C153" s="217"/>
      <c r="D153" s="217"/>
      <c r="E153" s="217"/>
    </row>
    <row r="154" spans="2:5">
      <c r="B154" s="217"/>
      <c r="C154" s="217"/>
      <c r="D154" s="217"/>
      <c r="E154" s="217"/>
    </row>
    <row r="155" spans="2:5">
      <c r="B155" s="217"/>
      <c r="C155" s="217"/>
      <c r="D155" s="217"/>
      <c r="E155" s="217"/>
    </row>
    <row r="156" spans="2:5">
      <c r="B156" s="217"/>
      <c r="C156" s="217"/>
      <c r="D156" s="217"/>
      <c r="E156" s="217"/>
    </row>
    <row r="157" spans="2:5">
      <c r="B157" s="217"/>
      <c r="C157" s="217"/>
      <c r="D157" s="217"/>
      <c r="E157" s="217"/>
    </row>
    <row r="158" spans="2:5">
      <c r="B158" s="217"/>
      <c r="C158" s="217"/>
      <c r="D158" s="217"/>
      <c r="E158" s="217"/>
    </row>
    <row r="159" spans="2:5">
      <c r="B159" s="217"/>
      <c r="C159" s="217"/>
      <c r="D159" s="217"/>
      <c r="E159" s="217"/>
    </row>
    <row r="160" spans="2:5">
      <c r="B160" s="217"/>
      <c r="C160" s="217"/>
      <c r="D160" s="217"/>
      <c r="E160" s="217"/>
    </row>
    <row r="161" spans="2:5">
      <c r="B161" s="217"/>
      <c r="C161" s="217"/>
      <c r="D161" s="217"/>
      <c r="E161" s="217"/>
    </row>
    <row r="162" spans="2:5">
      <c r="B162" s="217"/>
      <c r="C162" s="217"/>
      <c r="D162" s="217"/>
      <c r="E162" s="217"/>
    </row>
    <row r="163" spans="2:5">
      <c r="B163" s="217"/>
      <c r="C163" s="217"/>
      <c r="D163" s="217"/>
      <c r="E163" s="217"/>
    </row>
    <row r="164" spans="2:5">
      <c r="B164" s="217"/>
      <c r="C164" s="217"/>
      <c r="D164" s="217"/>
      <c r="E164" s="217"/>
    </row>
    <row r="165" spans="2:5">
      <c r="B165" s="217"/>
      <c r="C165" s="217"/>
      <c r="D165" s="217"/>
      <c r="E165" s="217"/>
    </row>
    <row r="166" spans="2:5">
      <c r="B166" s="217"/>
      <c r="C166" s="217"/>
      <c r="D166" s="217"/>
      <c r="E166" s="217"/>
    </row>
    <row r="167" spans="2:5">
      <c r="B167" s="217"/>
      <c r="C167" s="217"/>
      <c r="D167" s="217"/>
      <c r="E167" s="217"/>
    </row>
    <row r="168" spans="2:5">
      <c r="B168" s="217"/>
      <c r="C168" s="217"/>
      <c r="D168" s="217"/>
      <c r="E168" s="217"/>
    </row>
    <row r="169" spans="2:5">
      <c r="B169" s="217"/>
      <c r="C169" s="217"/>
      <c r="D169" s="217"/>
      <c r="E169" s="217"/>
    </row>
    <row r="170" spans="2:5">
      <c r="B170" s="217"/>
      <c r="C170" s="217"/>
      <c r="D170" s="217"/>
      <c r="E170" s="217"/>
    </row>
    <row r="171" spans="2:5">
      <c r="B171" s="217"/>
      <c r="C171" s="217"/>
      <c r="D171" s="217"/>
      <c r="E171" s="217"/>
    </row>
    <row r="172" spans="2:5">
      <c r="B172" s="217"/>
      <c r="C172" s="217"/>
      <c r="D172" s="217"/>
      <c r="E172" s="217"/>
    </row>
    <row r="173" spans="2:5">
      <c r="B173" s="217"/>
      <c r="C173" s="217"/>
      <c r="D173" s="217"/>
      <c r="E173" s="217"/>
    </row>
    <row r="174" spans="2:5">
      <c r="B174" s="217"/>
      <c r="C174" s="217"/>
      <c r="D174" s="217"/>
      <c r="E174" s="217"/>
    </row>
    <row r="175" spans="2:5">
      <c r="B175" s="217"/>
      <c r="C175" s="217"/>
      <c r="D175" s="217"/>
      <c r="E175" s="217"/>
    </row>
    <row r="176" spans="2:5">
      <c r="B176" s="217"/>
      <c r="C176" s="217"/>
      <c r="D176" s="217"/>
      <c r="E176" s="217"/>
    </row>
    <row r="177" spans="2:5">
      <c r="B177" s="217"/>
      <c r="C177" s="217"/>
      <c r="D177" s="217"/>
      <c r="E177" s="217"/>
    </row>
    <row r="178" spans="2:5">
      <c r="B178" s="217"/>
      <c r="C178" s="217"/>
      <c r="D178" s="217"/>
      <c r="E178" s="217"/>
    </row>
    <row r="179" spans="2:5">
      <c r="B179" s="217"/>
      <c r="C179" s="217"/>
      <c r="D179" s="217"/>
      <c r="E179" s="217"/>
    </row>
    <row r="180" spans="2:5">
      <c r="B180" s="217"/>
      <c r="C180" s="217"/>
      <c r="D180" s="217"/>
      <c r="E180" s="217"/>
    </row>
    <row r="181" spans="2:5">
      <c r="B181" s="217"/>
      <c r="C181" s="217"/>
      <c r="D181" s="217"/>
      <c r="E181" s="217"/>
    </row>
    <row r="182" spans="2:5">
      <c r="B182" s="217"/>
      <c r="C182" s="217"/>
      <c r="D182" s="217"/>
      <c r="E182" s="217"/>
    </row>
    <row r="183" spans="2:5">
      <c r="B183" s="217"/>
      <c r="C183" s="217"/>
      <c r="D183" s="217"/>
      <c r="E183" s="217"/>
    </row>
    <row r="184" spans="2:5">
      <c r="B184" s="217"/>
      <c r="C184" s="217"/>
      <c r="D184" s="217"/>
      <c r="E184" s="217"/>
    </row>
    <row r="185" spans="2:5">
      <c r="B185" s="217"/>
      <c r="C185" s="217"/>
      <c r="D185" s="217"/>
      <c r="E185" s="217"/>
    </row>
    <row r="186" spans="2:5">
      <c r="B186" s="217"/>
      <c r="C186" s="217"/>
      <c r="D186" s="217"/>
      <c r="E186" s="217"/>
    </row>
    <row r="187" spans="2:5">
      <c r="B187" s="217"/>
      <c r="C187" s="217"/>
      <c r="D187" s="217"/>
      <c r="E187" s="217"/>
    </row>
    <row r="188" spans="2:5">
      <c r="B188" s="217"/>
      <c r="C188" s="217"/>
      <c r="D188" s="217"/>
      <c r="E188" s="217"/>
    </row>
    <row r="189" spans="2:5">
      <c r="B189" s="217"/>
      <c r="C189" s="217"/>
      <c r="D189" s="217"/>
      <c r="E189" s="217"/>
    </row>
    <row r="190" spans="2:5">
      <c r="B190" s="217"/>
      <c r="C190" s="217"/>
      <c r="D190" s="217"/>
      <c r="E190" s="217"/>
    </row>
    <row r="191" spans="2:5">
      <c r="B191" s="217"/>
      <c r="C191" s="217"/>
      <c r="D191" s="217"/>
      <c r="E191" s="217"/>
    </row>
    <row r="192" spans="2:5">
      <c r="B192" s="217"/>
      <c r="C192" s="217"/>
      <c r="D192" s="217"/>
      <c r="E192" s="217"/>
    </row>
    <row r="193" spans="2:5">
      <c r="B193" s="217"/>
      <c r="C193" s="217"/>
      <c r="D193" s="217"/>
      <c r="E193" s="217"/>
    </row>
    <row r="194" spans="2:5">
      <c r="B194" s="217"/>
      <c r="C194" s="217"/>
      <c r="D194" s="217"/>
      <c r="E194" s="217"/>
    </row>
    <row r="195" spans="2:5">
      <c r="B195" s="217"/>
      <c r="C195" s="217"/>
      <c r="D195" s="217"/>
      <c r="E195" s="217"/>
    </row>
    <row r="196" spans="2:5">
      <c r="B196" s="217"/>
      <c r="C196" s="217"/>
      <c r="D196" s="217"/>
      <c r="E196" s="217"/>
    </row>
    <row r="197" spans="2:5">
      <c r="B197" s="217"/>
      <c r="C197" s="217"/>
      <c r="D197" s="217"/>
      <c r="E197" s="217"/>
    </row>
    <row r="198" spans="2:5">
      <c r="B198" s="217"/>
      <c r="C198" s="217"/>
      <c r="D198" s="217"/>
      <c r="E198" s="217"/>
    </row>
    <row r="199" spans="2:5">
      <c r="B199" s="217"/>
      <c r="C199" s="217"/>
      <c r="D199" s="217"/>
      <c r="E199" s="217"/>
    </row>
    <row r="200" spans="2:5">
      <c r="B200" s="217"/>
      <c r="C200" s="217"/>
      <c r="D200" s="217"/>
      <c r="E200" s="217"/>
    </row>
    <row r="201" spans="2:5">
      <c r="B201" s="217"/>
      <c r="C201" s="217"/>
      <c r="D201" s="217"/>
      <c r="E201" s="217"/>
    </row>
    <row r="202" spans="2:5">
      <c r="B202" s="217"/>
      <c r="C202" s="217"/>
      <c r="D202" s="217"/>
      <c r="E202" s="217"/>
    </row>
    <row r="203" spans="2:5">
      <c r="B203" s="217"/>
      <c r="C203" s="217"/>
      <c r="D203" s="217"/>
      <c r="E203" s="217"/>
    </row>
    <row r="204" spans="2:5">
      <c r="B204" s="217"/>
      <c r="C204" s="217"/>
      <c r="D204" s="217"/>
      <c r="E204" s="217"/>
    </row>
    <row r="205" spans="2:5">
      <c r="B205" s="217"/>
      <c r="C205" s="217"/>
      <c r="D205" s="217"/>
      <c r="E205" s="217"/>
    </row>
    <row r="206" spans="2:5">
      <c r="B206" s="217"/>
      <c r="C206" s="217"/>
      <c r="D206" s="217"/>
      <c r="E206" s="217"/>
    </row>
    <row r="207" spans="2:5">
      <c r="B207" s="217"/>
      <c r="C207" s="217"/>
      <c r="D207" s="217"/>
      <c r="E207" s="217"/>
    </row>
    <row r="208" spans="2:5">
      <c r="B208" s="217"/>
      <c r="C208" s="217"/>
      <c r="D208" s="217"/>
      <c r="E208" s="217"/>
    </row>
    <row r="209" spans="2:5">
      <c r="B209" s="217"/>
      <c r="C209" s="217"/>
      <c r="D209" s="217"/>
      <c r="E209" s="217"/>
    </row>
    <row r="210" spans="2:5">
      <c r="B210" s="217"/>
      <c r="C210" s="217"/>
      <c r="D210" s="217"/>
      <c r="E210" s="217"/>
    </row>
    <row r="211" spans="2:5">
      <c r="B211" s="217"/>
      <c r="C211" s="217"/>
      <c r="D211" s="217"/>
      <c r="E211" s="217"/>
    </row>
    <row r="212" spans="2:5">
      <c r="B212" s="217"/>
      <c r="C212" s="217"/>
      <c r="D212" s="217"/>
      <c r="E212" s="217"/>
    </row>
    <row r="213" spans="2:5">
      <c r="B213" s="217"/>
      <c r="C213" s="217"/>
      <c r="D213" s="217"/>
      <c r="E213" s="217"/>
    </row>
    <row r="214" spans="2:5">
      <c r="B214" s="217"/>
      <c r="C214" s="217"/>
      <c r="D214" s="217"/>
      <c r="E214" s="217"/>
    </row>
    <row r="215" spans="2:5">
      <c r="B215" s="217"/>
      <c r="C215" s="217"/>
      <c r="D215" s="217"/>
      <c r="E215" s="217"/>
    </row>
    <row r="216" spans="2:5">
      <c r="B216" s="217"/>
      <c r="C216" s="217"/>
      <c r="D216" s="217"/>
      <c r="E216" s="217"/>
    </row>
    <row r="217" spans="2:5">
      <c r="B217" s="217"/>
      <c r="C217" s="217"/>
      <c r="D217" s="217"/>
      <c r="E217" s="217"/>
    </row>
    <row r="218" spans="2:5">
      <c r="B218" s="217"/>
      <c r="C218" s="217"/>
      <c r="D218" s="217"/>
      <c r="E218" s="217"/>
    </row>
    <row r="219" spans="2:5">
      <c r="B219" s="217"/>
      <c r="C219" s="217"/>
      <c r="D219" s="217"/>
      <c r="E219" s="217"/>
    </row>
    <row r="220" spans="2:5">
      <c r="B220" s="217"/>
      <c r="C220" s="217"/>
      <c r="D220" s="217"/>
      <c r="E220" s="217"/>
    </row>
    <row r="221" spans="2:5">
      <c r="B221" s="217"/>
      <c r="C221" s="217"/>
      <c r="D221" s="217"/>
      <c r="E221" s="217"/>
    </row>
    <row r="222" spans="2:5">
      <c r="B222" s="217"/>
      <c r="C222" s="217"/>
      <c r="D222" s="217"/>
      <c r="E222" s="217"/>
    </row>
    <row r="223" spans="2:5">
      <c r="B223" s="217"/>
      <c r="C223" s="217"/>
      <c r="D223" s="217"/>
      <c r="E223" s="217"/>
    </row>
    <row r="224" spans="2:5">
      <c r="B224" s="217"/>
      <c r="C224" s="217"/>
      <c r="D224" s="217"/>
      <c r="E224" s="217"/>
    </row>
    <row r="225" spans="2:5">
      <c r="B225" s="217"/>
      <c r="C225" s="217"/>
      <c r="D225" s="217"/>
      <c r="E225" s="217"/>
    </row>
    <row r="226" spans="2:5">
      <c r="B226" s="217"/>
      <c r="C226" s="217"/>
      <c r="D226" s="217"/>
      <c r="E226" s="217"/>
    </row>
    <row r="227" spans="2:5">
      <c r="B227" s="217"/>
      <c r="C227" s="217"/>
      <c r="D227" s="217"/>
      <c r="E227" s="217"/>
    </row>
    <row r="228" spans="2:5">
      <c r="B228" s="217"/>
      <c r="C228" s="217"/>
      <c r="D228" s="217"/>
      <c r="E228" s="217"/>
    </row>
    <row r="229" spans="2:5">
      <c r="B229" s="217"/>
      <c r="C229" s="217"/>
      <c r="D229" s="217"/>
      <c r="E229" s="217"/>
    </row>
  </sheetData>
  <mergeCells count="4">
    <mergeCell ref="A75:F75"/>
    <mergeCell ref="A1:F1"/>
    <mergeCell ref="D3:F3"/>
    <mergeCell ref="A73:F73"/>
  </mergeCells>
  <phoneticPr fontId="41" type="noConversion"/>
  <hyperlinks>
    <hyperlink ref="F9" r:id="rId1" location="15-property-plant-and-equipment" display="http://www.wartsilareports.com/en-US/2019/ar/financial-review/financial-statements/consolidated-financial-statements/notes-to-the-consolidated-financial-statements/ - 15-property-plant-and-equipment" xr:uid="{00000000-0004-0000-0400-000002000000}"/>
    <hyperlink ref="F11" r:id="rId2" location="17-investments-in-associates-and-joint-ventures" display="http://www.wartsilareports.com/en-US/2019/ar/financial-review/financial-statements/consolidated-financial-statements/notes-to-the-consolidated-financial-statements/ - 17-investments-in-associates-and-joint-ventures" xr:uid="{00000000-0004-0000-0400-000004000000}"/>
    <hyperlink ref="F12" r:id="rId3" location="18-financial-assets-and-liabilities-by-measurement-category" display="http://www.wartsilareports.com/en-US/2019/ar/financial-review/financial-statements/consolidated-financial-statements/notes-to-the-consolidated-financial-statements/ - 18-financial-assets-and-liabilities-by-measurement-category" xr:uid="{00000000-0004-0000-0400-000005000000}"/>
    <hyperlink ref="F20" r:id="rId4" location="19-inventories" display="http://www.wartsilareports.com/en-US/2019/ar/financial-review/financial-statements/consolidated-financial-statements/notes-to-the-consolidated-financial-statements/ - 19-inventories" xr:uid="{00000000-0004-0000-0400-000009000000}"/>
    <hyperlink ref="F24" r:id="rId5" location="21-other-receivables" display="http://www.wartsilareports.com/en-US/2019/ar/financial-review/financial-statements/consolidated-financial-statements/notes-to-the-consolidated-financial-statements/ - 21-other-receivables" xr:uid="{00000000-0004-0000-0400-00000A000000}"/>
    <hyperlink ref="F16" r:id="rId6" location="21-other-receivables" display="http://www.wartsilareports.com/en-US/2019/ar/financial-review/financial-statements/consolidated-financial-statements/notes-to-the-consolidated-financial-statements/ - 21-other-receivables" xr:uid="{00000000-0004-0000-0400-00000B000000}"/>
    <hyperlink ref="F25" r:id="rId7" location="23-net-debt-reconciliation" display="http://www.wartsilareports.com/en-US/2019/ar/financial-review/financial-statements/consolidated-financial-statements/notes-to-the-consolidated-financial-statements/ - 23-net-debt-reconciliation" xr:uid="{00000000-0004-0000-0400-00000C000000}"/>
    <hyperlink ref="F14" r:id="rId8" location="24-deferred-taxes" display="http://www.wartsilareports.com/en-US/2019/ar/financial-review/financial-statements/consolidated-financial-statements/notes-to-the-consolidated-financial-statements/ - 24-deferred-taxes" xr:uid="{00000000-0004-0000-0400-00000D000000}"/>
    <hyperlink ref="F36" r:id="rId9" location="26-equity" display="http://www.wartsilareports.com/en-US/2019/ar/financial-review/financial-statements/consolidated-financial-statements/notes-to-the-consolidated-financial-statements/ - 26-equity" xr:uid="{00000000-0004-0000-0400-000011000000}"/>
    <hyperlink ref="F52" r:id="rId10" location="25-pension-obligations" display="http://www.wartsilareports.com/en-US/2019/ar/financial-review/financial-statements/consolidated-financial-statements/notes-to-the-consolidated-financial-statements/ - 25-pension-obligations" xr:uid="{00000000-0004-0000-0400-000015000000}"/>
    <hyperlink ref="F53" r:id="rId11" location="27-provisions" display="http://www.wartsilareports.com/en-US/2019/ar/financial-review/financial-statements/consolidated-financial-statements/notes-to-the-consolidated-financial-statements/ - 27-provisions" xr:uid="{00000000-0004-0000-0400-000016000000}"/>
    <hyperlink ref="F61" r:id="rId12" location="28-financial-liabilities" display="http://www.wartsilareports.com/en-US/2019/ar/financial-review/financial-statements/consolidated-financial-statements/notes-to-the-consolidated-financial-statements/ - 28-financial-liabilities" xr:uid="{00000000-0004-0000-0400-000019000000}"/>
    <hyperlink ref="F64" r:id="rId13" location="29-other-liabilities" display="http://www.wartsilareports.com/en-US/2019/ar/financial-review/financial-statements/consolidated-financial-statements/notes-to-the-consolidated-financial-statements/ - 29-other-liabilities" xr:uid="{00000000-0004-0000-0400-00001A000000}"/>
    <hyperlink ref="F23" r:id="rId14" location="20-contract-balances" display="http://www.wartsilareports.com/en-US/2019/ar/financial-review/financial-statements/consolidated-financial-statements/notes-to-the-consolidated-financial-statements/ - 20-contract-balances" xr:uid="{C33EF9EE-94FB-4A1B-96F9-C5DE028886FC}"/>
    <hyperlink ref="F7" r:id="rId15" location="14-intangible-assets" display="http://www.wartsilareports.com/en-US/2019/ar/financial-review/financial-statements/consolidated-financial-statements/notes-to-the-consolidated-financial-statements/ - 14-intangible-assets" xr:uid="{873CD4AE-FCA0-4DBA-90F0-5C749BC593E8}"/>
    <hyperlink ref="F8" r:id="rId16" location="14-intangible-assets" display="http://www.wartsilareports.com/en-US/2019/ar/financial-review/financial-statements/consolidated-financial-statements/notes-to-the-consolidated-financial-statements/ - 14-intangible-assets" xr:uid="{6177D66F-623D-4527-90F5-9AFD540CA6F7}"/>
    <hyperlink ref="F10" r:id="rId17" location="16-leases" display="http://www.wartsilareports.com/en-US/2019/ar/financial-review/financial-statements/consolidated-financial-statements/notes-to-the-consolidated-financial-statements/ - 16-leases" xr:uid="{781EE62B-6CE3-4F3F-A703-D6ABE2E6A091}"/>
    <hyperlink ref="F13" r:id="rId18" location="18-financial-assets-and-liabilities-by-measurement-category" display="http://www.wartsilareports.com/en-US/2019/ar/financial-review/financial-statements/consolidated-financial-statements/notes-to-the-consolidated-financial-statements/ - 18-financial-assets-and-liabilities-by-measurement-category" xr:uid="{813C9E0C-2931-4704-B1FD-478316656F26}"/>
    <hyperlink ref="F15" r:id="rId19" location="18-financial-assets-and-liabilities-by-measurement-category" display="http://www.wartsilareports.com/en-US/2019/ar/financial-review/financial-statements/consolidated-financial-statements/notes-to-the-consolidated-financial-statements/ - 18-financial-assets-and-liabilities-by-measurement-category" xr:uid="{E707FCE7-47E2-4388-AF77-87F1969E703D}"/>
    <hyperlink ref="E21" r:id="rId20" location="18-financial-assets-and-liabilities-by-measurement-category" display="http://www.wartsilareports.com/en-US/2019/ar/financial-review/financial-statements/consolidated-financial-statements/notes-to-the-consolidated-financial-statements/ - 18-financial-assets-and-liabilities-by-measurement-category" xr:uid="{B83C6DDE-E6F6-45A3-9D43-F670CF9E0AD7}"/>
    <hyperlink ref="D50" r:id="rId21" location="18-financial-assets-and-liabilities-by-measurement-category" display="http://www.wartsilareports.com/en-US/2019/ar/financial-review/financial-statements/consolidated-financial-statements/notes-to-the-consolidated-financial-statements/ - 18-financial-assets-and-liabilities-by-measurement-category" xr:uid="{5FDC2AA7-6954-41EB-9B2B-8E3DF5BC50DD}"/>
    <hyperlink ref="D59" r:id="rId22" location="18-financial-assets-and-liabilities-by-measurement-category" display="http://www.wartsilareports.com/en-US/2019/ar/financial-review/financial-statements/consolidated-financial-statements/notes-to-the-consolidated-financial-statements/ - 18-financial-assets-and-liabilities-by-measurement-category" xr:uid="{F5E61B98-0324-4829-BA66-7288FC1760D2}"/>
    <hyperlink ref="E61" r:id="rId23" location="18-financial-assets-and-liabilities-by-measurement-category" display="http://www.wartsilareports.com/en-US/2019/ar/financial-review/financial-statements/consolidated-financial-statements/notes-to-the-consolidated-financial-statements/ - 18-financial-assets-and-liabilities-by-measurement-category" xr:uid="{AB4FF319-4314-46BF-BC65-0BE006D4C35B}"/>
    <hyperlink ref="F28" r:id="rId24" location="4-assets-held-for-sale" display="http://www.wartsilareports.com/en-US/2019/ar/financial-review/financial-statements/consolidated-financial-statements/notes-to-the-consolidated-financial-statements/ - 4-assets-held-for-sale" xr:uid="{6BB578E7-98C1-4AFB-A373-81F659203892}"/>
    <hyperlink ref="F69" r:id="rId25" location="4-assets-held-for-sale" display="http://www.wartsilareports.com/en-US/2019/ar/financial-review/financial-statements/consolidated-financial-statements/notes-to-the-consolidated-financial-statements/ - 4-assets-held-for-sale" xr:uid="{91328BDC-A96C-450F-B9F2-C79B964D982B}"/>
    <hyperlink ref="F51" r:id="rId26" location="24-deferred-taxes" display="http://www.wartsilareports.com/en-US/2019/ar/financial-review/financial-statements/consolidated-financial-statements/notes-to-the-consolidated-financial-statements/ - 24-deferred-taxes" xr:uid="{DBF4ABAD-A767-4EC6-B473-C0515F149F6A}"/>
    <hyperlink ref="F21" r:id="rId27" location="20-contract-balances" display="http://www.wartsilareports.com/en-US/2019/ar/financial-review/financial-statements/consolidated-financial-statements/notes-to-the-consolidated-financial-statements/ - 20-contract-balances" xr:uid="{EF65612C-6EFD-4347-A34D-479652948055}"/>
    <hyperlink ref="F63" r:id="rId28" location="20-contract-balances" display="http://www.wartsilareports.com/en-US/2019/ar/financial-review/financial-statements/consolidated-financial-statements/notes-to-the-consolidated-financial-statements/ - 20-contract-balances" xr:uid="{DBEEE6C6-9D87-4AEC-AA20-10A2E851A7AD}"/>
    <hyperlink ref="F55" r:id="rId29" location="29-other-liabilities" display="http://www.wartsilareports.com/en-US/2019/ar/financial-review/financial-statements/consolidated-financial-statements/notes-to-the-consolidated-financial-statements/ - 29-other-liabilities" xr:uid="{C88572FF-C0C1-430B-A30D-7F05028991E2}"/>
    <hyperlink ref="F59" r:id="rId30" location="28-financial-liabilities" display="http://www.wartsilareports.com/en-US/2019/ar/financial-review/financial-statements/consolidated-financial-statements/notes-to-the-consolidated-financial-statements/ - 28-financial-liabilities" xr:uid="{E67FBE7F-90A8-45FA-89EE-04ECE90FDC7C}"/>
    <hyperlink ref="F50" r:id="rId31" location="28-financial-liabilities" display="http://www.wartsilareports.com/en-US/2019/ar/financial-review/financial-statements/consolidated-financial-statements/notes-to-the-consolidated-financial-statements/ - 28-financial-liabilities" xr:uid="{D6FBACE0-B2D7-4E7E-A913-8615D8C37C3C}"/>
    <hyperlink ref="F37" r:id="rId32" location="26-equity" display="http://www.wartsilareports.com/en-US/2019/ar/financial-review/financial-statements/consolidated-financial-statements/notes-to-the-consolidated-financial-statements/ - 26-equity" xr:uid="{3456F450-6BB6-4A76-8F2E-433712EC2CF9}"/>
    <hyperlink ref="F38" r:id="rId33" location="26-equity" display="http://www.wartsilareports.com/en-US/2019/ar/financial-review/financial-statements/consolidated-financial-statements/notes-to-the-consolidated-financial-statements/ - 26-equity" xr:uid="{96D0EBD4-316A-4B1F-93CD-009A39ED6386}"/>
    <hyperlink ref="F39" r:id="rId34" location="26-equity" display="http://www.wartsilareports.com/en-US/2019/ar/financial-review/financial-statements/consolidated-financial-statements/notes-to-the-consolidated-financial-statements/ - 26-equity" xr:uid="{630C36BE-F01D-4CA7-B15B-4068350C6EF0}"/>
    <hyperlink ref="F40" r:id="rId35" location="25-pension-obligations" display="http://www.wartsilareports.com/en-US/2019/ar/financial-review/financial-statements/consolidated-financial-statements/notes-to-the-consolidated-financial-statements/ - 25-pension-obligations" xr:uid="{4DA0D7AC-D14A-4EFF-A601-62BA4F2924EB}"/>
    <hyperlink ref="E25" r:id="rId36" location="22-cash-and-cash-equivalents" display="http://www.wartsilareports.com/en-US/2019/ar/financial-review/financial-statements/consolidated-financial-statements/notes-to-the-consolidated-financial-statements/ - 22-cash-and-cash-equivalents" xr:uid="{594958EF-8A3F-45DE-9D65-B2A8D9C244CD}"/>
    <hyperlink ref="E50" r:id="rId37" location="23-net-debt-reconciliation" display="http://www.wartsilareports.com/en-US/2019/ar/financial-review/financial-statements/consolidated-financial-statements/notes-to-the-consolidated-financial-statements/ - 23-net-debt-reconciliation" xr:uid="{946472F5-D4F7-4C3E-92F8-65E02CE23BDB}"/>
    <hyperlink ref="E59" r:id="rId38" location="23-net-debt-reconciliation" display="http://www.wartsilareports.com/en-US/2019/ar/financial-review/financial-statements/consolidated-financial-statements/notes-to-the-consolidated-financial-statements/ - 23-net-debt-reconciliation" xr:uid="{59CC4492-BC02-45CD-AFCA-48434987DC5F}"/>
    <hyperlink ref="F60" r:id="rId39" location="27-provisions" display="http://www.wartsilareports.com/en-US/2019/ar/financial-review/financial-statements/consolidated-financial-statements/notes-to-the-consolidated-financial-statements/ - 27-provisions" xr:uid="{7EA1CEB4-F076-4932-BA75-CBE70432E49D}"/>
    <hyperlink ref="F54" r:id="rId40" location="20-contract-balances" display="http://www.wartsilareports.com/en-US/2019/ar/financial-review/financial-statements/consolidated-financial-statements/notes-to-the-consolidated-financial-statements/ - 20-contract-balances" xr:uid="{CF2DE0C6-5BB0-47C9-97EE-758E5EC3974E}"/>
  </hyperlinks>
  <printOptions horizontalCentered="1"/>
  <pageMargins left="3.937007874015748E-2" right="1.0629921259842521" top="1.1417322834645669" bottom="1.1417322834645669" header="0" footer="0"/>
  <pageSetup paperSize="9" scale="83" fitToHeight="2" orientation="portrait" r:id="rId41"/>
  <headerFooter alignWithMargins="0"/>
  <customProperties>
    <customPr name="SheetOptions" r:id="rId42"/>
  </customPropertie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Q235"/>
  <sheetViews>
    <sheetView zoomScaleNormal="100" workbookViewId="0">
      <selection sqref="A1:F1"/>
    </sheetView>
  </sheetViews>
  <sheetFormatPr defaultColWidth="8.6640625" defaultRowHeight="12.75"/>
  <cols>
    <col min="1" max="1" width="2.5" style="239" customWidth="1"/>
    <col min="2" max="2" width="74.1640625" style="238" customWidth="1"/>
    <col min="3" max="3" width="18.33203125" style="263" customWidth="1"/>
    <col min="4" max="4" width="18.33203125" style="215" customWidth="1"/>
    <col min="5" max="5" width="8.33203125" style="215" customWidth="1"/>
    <col min="6" max="6" width="8.33203125" style="393" customWidth="1"/>
    <col min="7" max="7" width="3.6640625" style="1029" customWidth="1"/>
    <col min="8" max="17" width="3.6640625" style="205" customWidth="1"/>
    <col min="18" max="16384" width="8.6640625" style="1149"/>
  </cols>
  <sheetData>
    <row r="1" spans="1:17" ht="15.75" customHeight="1">
      <c r="A1" s="1252" t="s">
        <v>924</v>
      </c>
      <c r="B1" s="1252"/>
      <c r="C1" s="1252"/>
      <c r="D1" s="1252"/>
      <c r="E1" s="1252"/>
      <c r="F1" s="1252"/>
    </row>
    <row r="2" spans="1:17" s="1154" customFormat="1" ht="11.25" customHeight="1">
      <c r="A2" s="435"/>
      <c r="B2" s="237"/>
      <c r="C2" s="434"/>
      <c r="D2" s="434"/>
      <c r="E2" s="613"/>
      <c r="F2" s="649"/>
      <c r="G2" s="1029"/>
      <c r="H2" s="205"/>
      <c r="I2" s="205"/>
      <c r="J2" s="205"/>
      <c r="K2" s="205"/>
      <c r="L2" s="205"/>
      <c r="M2" s="205"/>
      <c r="N2" s="205"/>
      <c r="O2" s="205"/>
      <c r="P2" s="205"/>
      <c r="Q2" s="205"/>
    </row>
    <row r="3" spans="1:17" ht="11.25" customHeight="1">
      <c r="A3" s="1245" t="s">
        <v>700</v>
      </c>
      <c r="B3" s="1245"/>
      <c r="C3" s="529">
        <v>2019</v>
      </c>
      <c r="D3" s="208">
        <v>2018</v>
      </c>
      <c r="E3" s="1262" t="s">
        <v>842</v>
      </c>
      <c r="F3" s="1262"/>
    </row>
    <row r="4" spans="1:17" ht="11.25" customHeight="1">
      <c r="A4" s="1241" t="s">
        <v>189</v>
      </c>
      <c r="B4" s="1241"/>
      <c r="C4" s="715"/>
      <c r="D4" s="442"/>
      <c r="E4" s="442"/>
      <c r="F4" s="440"/>
    </row>
    <row r="5" spans="1:17" ht="11.25" customHeight="1">
      <c r="A5" s="1237" t="s">
        <v>487</v>
      </c>
      <c r="B5" s="1237"/>
      <c r="C5" s="540">
        <v>218</v>
      </c>
      <c r="D5" s="442">
        <v>386</v>
      </c>
      <c r="E5" s="442"/>
      <c r="F5" s="440"/>
    </row>
    <row r="6" spans="1:17" ht="11.25" customHeight="1">
      <c r="A6" s="1237" t="s">
        <v>857</v>
      </c>
      <c r="B6" s="1237"/>
      <c r="C6" s="540"/>
      <c r="D6" s="442"/>
      <c r="E6" s="442"/>
      <c r="F6" s="617"/>
    </row>
    <row r="7" spans="1:17" ht="11.25" customHeight="1">
      <c r="A7" s="1229" t="s">
        <v>412</v>
      </c>
      <c r="B7" s="1229"/>
      <c r="C7" s="540">
        <v>180</v>
      </c>
      <c r="D7" s="442">
        <v>130</v>
      </c>
      <c r="E7" s="442"/>
      <c r="F7" s="1195">
        <v>9</v>
      </c>
    </row>
    <row r="8" spans="1:17" ht="11.25" customHeight="1">
      <c r="A8" s="1229" t="s">
        <v>187</v>
      </c>
      <c r="B8" s="1229"/>
      <c r="C8" s="540">
        <v>47</v>
      </c>
      <c r="D8" s="442">
        <v>39</v>
      </c>
      <c r="E8" s="442"/>
      <c r="F8" s="1195">
        <v>11</v>
      </c>
    </row>
    <row r="9" spans="1:17" ht="22.5" customHeight="1">
      <c r="A9" s="1254" t="s">
        <v>1044</v>
      </c>
      <c r="B9" s="1254"/>
      <c r="C9" s="540">
        <v>-15</v>
      </c>
      <c r="D9" s="442">
        <v>-26</v>
      </c>
      <c r="E9" s="442"/>
      <c r="F9" s="617"/>
    </row>
    <row r="10" spans="1:17" ht="11.25" customHeight="1">
      <c r="A10" s="1229" t="s">
        <v>30</v>
      </c>
      <c r="B10" s="1229"/>
      <c r="C10" s="540">
        <v>9</v>
      </c>
      <c r="D10" s="442">
        <v>-13</v>
      </c>
      <c r="E10" s="442"/>
      <c r="F10" s="1198">
        <v>17</v>
      </c>
    </row>
    <row r="11" spans="1:17" ht="11.25" customHeight="1">
      <c r="A11" s="1229" t="s">
        <v>562</v>
      </c>
      <c r="B11" s="1229"/>
      <c r="C11" s="540">
        <v>97</v>
      </c>
      <c r="D11" s="442">
        <v>116</v>
      </c>
      <c r="E11" s="442"/>
      <c r="F11" s="1198">
        <v>12</v>
      </c>
      <c r="H11" s="789"/>
      <c r="I11" s="789"/>
      <c r="J11" s="789"/>
      <c r="K11" s="789"/>
      <c r="L11" s="789"/>
      <c r="M11" s="789"/>
      <c r="N11" s="789"/>
      <c r="O11" s="789"/>
      <c r="P11" s="789"/>
      <c r="Q11" s="789"/>
    </row>
    <row r="12" spans="1:17" ht="11.25" customHeight="1">
      <c r="A12" s="1258" t="s">
        <v>1379</v>
      </c>
      <c r="B12" s="1258"/>
      <c r="C12" s="536">
        <v>3</v>
      </c>
      <c r="D12" s="433">
        <v>-7</v>
      </c>
      <c r="E12" s="433"/>
      <c r="F12" s="1043"/>
    </row>
    <row r="13" spans="1:17" ht="11.25" customHeight="1">
      <c r="A13" s="1237" t="s">
        <v>810</v>
      </c>
      <c r="B13" s="1237"/>
      <c r="C13" s="540">
        <v>540</v>
      </c>
      <c r="D13" s="473">
        <v>625</v>
      </c>
      <c r="E13" s="473"/>
      <c r="F13" s="617"/>
    </row>
    <row r="14" spans="1:17" ht="11.25" customHeight="1">
      <c r="A14" s="612"/>
      <c r="B14" s="897"/>
      <c r="C14" s="540"/>
      <c r="D14" s="618"/>
      <c r="E14" s="618"/>
      <c r="F14" s="617"/>
    </row>
    <row r="15" spans="1:17" ht="11.25" customHeight="1">
      <c r="A15" s="1241" t="s">
        <v>37</v>
      </c>
      <c r="B15" s="1241"/>
      <c r="C15" s="540"/>
      <c r="D15" s="618"/>
      <c r="E15" s="618"/>
      <c r="F15" s="617"/>
    </row>
    <row r="16" spans="1:17" ht="11.25" customHeight="1">
      <c r="A16" s="1237" t="s">
        <v>1043</v>
      </c>
      <c r="B16" s="1237"/>
      <c r="C16" s="540">
        <v>9</v>
      </c>
      <c r="D16" s="473">
        <v>-22</v>
      </c>
      <c r="E16" s="473"/>
      <c r="F16" s="617"/>
    </row>
    <row r="17" spans="1:17" ht="11.25" customHeight="1">
      <c r="A17" s="1237" t="s">
        <v>38</v>
      </c>
      <c r="B17" s="1237"/>
      <c r="C17" s="540">
        <v>-213</v>
      </c>
      <c r="D17" s="473">
        <v>-130</v>
      </c>
      <c r="E17" s="473"/>
      <c r="F17" s="1198">
        <v>19</v>
      </c>
    </row>
    <row r="18" spans="1:17" ht="11.25" customHeight="1">
      <c r="A18" s="1255" t="s">
        <v>397</v>
      </c>
      <c r="B18" s="1255"/>
      <c r="C18" s="536">
        <v>74</v>
      </c>
      <c r="D18" s="433">
        <v>117</v>
      </c>
      <c r="E18" s="433"/>
      <c r="F18" s="1050"/>
    </row>
    <row r="19" spans="1:17" ht="11.25" customHeight="1">
      <c r="A19" s="1237" t="s">
        <v>846</v>
      </c>
      <c r="B19" s="1237"/>
      <c r="C19" s="540">
        <v>-130</v>
      </c>
      <c r="D19" s="473">
        <v>-35</v>
      </c>
      <c r="E19" s="473"/>
      <c r="F19" s="617"/>
    </row>
    <row r="20" spans="1:17" ht="11.25" customHeight="1">
      <c r="A20" s="1253"/>
      <c r="B20" s="1253"/>
      <c r="C20" s="540"/>
      <c r="D20" s="618"/>
      <c r="E20" s="618"/>
      <c r="F20" s="617"/>
    </row>
    <row r="21" spans="1:17" ht="11.25" customHeight="1">
      <c r="A21" s="1233" t="s">
        <v>849</v>
      </c>
      <c r="B21" s="1233"/>
      <c r="C21" s="540">
        <v>410</v>
      </c>
      <c r="D21" s="473">
        <v>589</v>
      </c>
      <c r="E21" s="473"/>
      <c r="F21" s="617"/>
    </row>
    <row r="22" spans="1:17" ht="11.25" customHeight="1">
      <c r="A22" s="1253"/>
      <c r="B22" s="1253"/>
      <c r="C22" s="540"/>
      <c r="D22" s="618"/>
      <c r="E22" s="618"/>
      <c r="F22" s="617"/>
    </row>
    <row r="23" spans="1:17" ht="11.25" customHeight="1">
      <c r="A23" s="1241" t="s">
        <v>406</v>
      </c>
      <c r="B23" s="1241"/>
      <c r="C23" s="540"/>
      <c r="D23" s="618"/>
      <c r="E23" s="618"/>
      <c r="F23" s="617"/>
    </row>
    <row r="24" spans="1:17" ht="11.25" customHeight="1">
      <c r="A24" s="1237" t="s">
        <v>1219</v>
      </c>
      <c r="B24" s="1237"/>
      <c r="C24" s="540">
        <v>4</v>
      </c>
      <c r="D24" s="473">
        <v>6</v>
      </c>
      <c r="E24" s="473"/>
      <c r="F24" s="617"/>
    </row>
    <row r="25" spans="1:17" ht="11.25" customHeight="1">
      <c r="A25" s="1237" t="s">
        <v>1220</v>
      </c>
      <c r="B25" s="1237"/>
      <c r="C25" s="540">
        <v>-13</v>
      </c>
      <c r="D25" s="473">
        <v>-14</v>
      </c>
      <c r="E25" s="473"/>
      <c r="F25" s="617"/>
    </row>
    <row r="26" spans="1:17" ht="11.25" customHeight="1">
      <c r="A26" s="1237" t="s">
        <v>1221</v>
      </c>
      <c r="B26" s="1237"/>
      <c r="C26" s="559">
        <v>-27</v>
      </c>
      <c r="D26" s="473">
        <v>-7</v>
      </c>
      <c r="E26" s="473"/>
      <c r="F26" s="617"/>
      <c r="H26" s="708"/>
      <c r="I26" s="708"/>
      <c r="J26" s="708"/>
      <c r="K26" s="708"/>
      <c r="L26" s="708"/>
      <c r="M26" s="708"/>
      <c r="N26" s="708"/>
      <c r="O26" s="708"/>
      <c r="P26" s="708"/>
      <c r="Q26" s="708"/>
    </row>
    <row r="27" spans="1:17" ht="11.25" customHeight="1">
      <c r="A27" s="1255" t="s">
        <v>855</v>
      </c>
      <c r="B27" s="1255"/>
      <c r="C27" s="536">
        <v>-141</v>
      </c>
      <c r="D27" s="433">
        <v>-104</v>
      </c>
      <c r="E27" s="433"/>
      <c r="F27" s="1050"/>
    </row>
    <row r="28" spans="1:17" ht="11.25" customHeight="1">
      <c r="A28" s="1237" t="s">
        <v>856</v>
      </c>
      <c r="B28" s="1237"/>
      <c r="C28" s="559">
        <v>-178</v>
      </c>
      <c r="D28" s="473">
        <v>-119</v>
      </c>
      <c r="E28" s="473"/>
      <c r="F28" s="617"/>
    </row>
    <row r="29" spans="1:17" ht="11.25" customHeight="1">
      <c r="A29" s="808"/>
      <c r="B29" s="1041"/>
      <c r="C29" s="562"/>
      <c r="D29" s="432"/>
      <c r="E29" s="432"/>
      <c r="F29" s="1047"/>
    </row>
    <row r="30" spans="1:17" ht="11.25" customHeight="1">
      <c r="A30" s="1256" t="s">
        <v>555</v>
      </c>
      <c r="B30" s="1256"/>
      <c r="C30" s="536">
        <v>232</v>
      </c>
      <c r="D30" s="433">
        <v>470</v>
      </c>
      <c r="E30" s="433"/>
      <c r="F30" s="1050"/>
    </row>
    <row r="31" spans="1:17" ht="11.25" customHeight="1">
      <c r="A31" s="612"/>
      <c r="B31" s="897"/>
      <c r="C31" s="559"/>
      <c r="D31" s="618"/>
      <c r="E31" s="618"/>
      <c r="F31" s="617"/>
    </row>
    <row r="32" spans="1:17" ht="11.25" customHeight="1">
      <c r="A32" s="1241" t="s">
        <v>852</v>
      </c>
      <c r="B32" s="1241"/>
      <c r="C32" s="559"/>
      <c r="D32" s="618"/>
      <c r="E32" s="618"/>
      <c r="F32" s="617"/>
    </row>
    <row r="33" spans="1:17" ht="11.25" customHeight="1">
      <c r="A33" s="1237" t="s">
        <v>841</v>
      </c>
      <c r="B33" s="1237"/>
      <c r="C33" s="559">
        <v>-4</v>
      </c>
      <c r="D33" s="473">
        <v>-191</v>
      </c>
      <c r="E33" s="473"/>
      <c r="F33" s="1198">
        <v>2</v>
      </c>
    </row>
    <row r="34" spans="1:17" ht="11.25" customHeight="1">
      <c r="A34" s="1237" t="s">
        <v>33</v>
      </c>
      <c r="B34" s="1237"/>
      <c r="C34" s="559"/>
      <c r="D34" s="473">
        <v>-1</v>
      </c>
      <c r="E34" s="473"/>
      <c r="F34" s="1198">
        <v>17</v>
      </c>
    </row>
    <row r="35" spans="1:17" ht="11.25" customHeight="1">
      <c r="A35" s="1237" t="s">
        <v>159</v>
      </c>
      <c r="B35" s="1237"/>
      <c r="C35" s="559">
        <v>-2</v>
      </c>
      <c r="D35" s="473">
        <v>-3</v>
      </c>
      <c r="E35" s="473"/>
      <c r="F35" s="1198">
        <v>18</v>
      </c>
    </row>
    <row r="36" spans="1:17" ht="11.25" customHeight="1">
      <c r="A36" s="1237" t="s">
        <v>414</v>
      </c>
      <c r="B36" s="1237"/>
      <c r="C36" s="559">
        <v>-116</v>
      </c>
      <c r="D36" s="473">
        <v>-110</v>
      </c>
      <c r="E36" s="1198">
        <v>14</v>
      </c>
      <c r="F36" s="1198">
        <v>15</v>
      </c>
    </row>
    <row r="37" spans="1:17" ht="11.25" customHeight="1">
      <c r="A37" s="1237" t="s">
        <v>1340</v>
      </c>
      <c r="B37" s="1237"/>
      <c r="C37" s="559"/>
      <c r="D37" s="473">
        <v>13</v>
      </c>
      <c r="E37" s="616"/>
      <c r="F37" s="616"/>
      <c r="H37" s="789"/>
      <c r="I37" s="789"/>
      <c r="J37" s="789"/>
      <c r="K37" s="789"/>
      <c r="L37" s="789"/>
      <c r="M37" s="789"/>
      <c r="N37" s="789"/>
      <c r="O37" s="789"/>
      <c r="P37" s="789"/>
      <c r="Q37" s="789"/>
    </row>
    <row r="38" spans="1:17" ht="11.25" customHeight="1">
      <c r="A38" s="1237" t="s">
        <v>413</v>
      </c>
      <c r="B38" s="1237"/>
      <c r="C38" s="559">
        <v>25</v>
      </c>
      <c r="D38" s="473">
        <v>11</v>
      </c>
      <c r="E38" s="1198">
        <v>14</v>
      </c>
      <c r="F38" s="1198">
        <v>15</v>
      </c>
    </row>
    <row r="39" spans="1:17" ht="11.25" customHeight="1">
      <c r="A39" s="1237" t="s">
        <v>1354</v>
      </c>
      <c r="B39" s="1237"/>
      <c r="C39" s="559">
        <v>1</v>
      </c>
      <c r="D39" s="473">
        <v>41</v>
      </c>
      <c r="E39" s="473"/>
      <c r="F39" s="1198">
        <v>3</v>
      </c>
      <c r="H39" s="793"/>
      <c r="I39" s="793"/>
      <c r="J39" s="793"/>
      <c r="K39" s="793"/>
      <c r="L39" s="793"/>
      <c r="M39" s="793"/>
      <c r="N39" s="793"/>
      <c r="O39" s="793"/>
      <c r="P39" s="793"/>
      <c r="Q39" s="793"/>
    </row>
    <row r="40" spans="1:17" ht="11.25" customHeight="1">
      <c r="A40" s="1255" t="s">
        <v>1025</v>
      </c>
      <c r="B40" s="1255"/>
      <c r="C40" s="560"/>
      <c r="D40" s="464">
        <v>1</v>
      </c>
      <c r="E40" s="464"/>
      <c r="F40" s="1050"/>
    </row>
    <row r="41" spans="1:17" ht="11.25" customHeight="1">
      <c r="A41" s="1256" t="s">
        <v>558</v>
      </c>
      <c r="B41" s="1256"/>
      <c r="C41" s="536">
        <v>-95</v>
      </c>
      <c r="D41" s="433">
        <v>-240</v>
      </c>
      <c r="E41" s="433"/>
      <c r="F41" s="1050"/>
    </row>
    <row r="42" spans="1:17" ht="11.25" customHeight="1">
      <c r="A42" s="612"/>
      <c r="B42" s="897"/>
      <c r="C42" s="559"/>
      <c r="D42" s="618"/>
      <c r="E42" s="618"/>
      <c r="F42" s="617"/>
    </row>
    <row r="43" spans="1:17" ht="11.25" customHeight="1">
      <c r="A43" s="1233" t="s">
        <v>801</v>
      </c>
      <c r="B43" s="1233"/>
      <c r="C43" s="559">
        <v>137</v>
      </c>
      <c r="D43" s="442">
        <v>230</v>
      </c>
      <c r="E43" s="442"/>
      <c r="F43" s="617"/>
    </row>
    <row r="44" spans="1:17" ht="11.25" customHeight="1">
      <c r="A44" s="612"/>
      <c r="B44" s="897"/>
      <c r="C44" s="559"/>
      <c r="D44" s="618"/>
      <c r="E44" s="618"/>
      <c r="F44" s="617"/>
    </row>
    <row r="45" spans="1:17" s="244" customFormat="1" ht="11.25" customHeight="1">
      <c r="A45" s="1241" t="s">
        <v>332</v>
      </c>
      <c r="B45" s="1241"/>
      <c r="C45" s="559"/>
      <c r="D45" s="618"/>
      <c r="E45" s="618"/>
      <c r="F45" s="617"/>
      <c r="G45" s="1029"/>
      <c r="H45" s="205"/>
      <c r="I45" s="205"/>
      <c r="J45" s="205"/>
      <c r="K45" s="205"/>
      <c r="L45" s="205"/>
      <c r="M45" s="205"/>
      <c r="N45" s="205"/>
      <c r="O45" s="205"/>
      <c r="P45" s="205"/>
      <c r="Q45" s="205"/>
    </row>
    <row r="46" spans="1:17" ht="11.25" customHeight="1">
      <c r="A46" s="1237" t="s">
        <v>1046</v>
      </c>
      <c r="B46" s="1237"/>
      <c r="C46" s="559">
        <v>150</v>
      </c>
      <c r="D46" s="473">
        <v>279</v>
      </c>
      <c r="E46" s="473"/>
      <c r="F46" s="616"/>
    </row>
    <row r="47" spans="1:17" ht="11.25" customHeight="1">
      <c r="A47" s="1237" t="s">
        <v>1045</v>
      </c>
      <c r="B47" s="1237"/>
      <c r="C47" s="559">
        <v>-105</v>
      </c>
      <c r="D47" s="473">
        <v>-84</v>
      </c>
      <c r="E47" s="473"/>
      <c r="F47" s="1198">
        <v>28</v>
      </c>
    </row>
    <row r="48" spans="1:17" ht="11.25" customHeight="1">
      <c r="A48" s="1237" t="s">
        <v>517</v>
      </c>
      <c r="B48" s="1237"/>
      <c r="C48" s="559">
        <v>2</v>
      </c>
      <c r="D48" s="473">
        <v>-4</v>
      </c>
      <c r="E48" s="473"/>
      <c r="F48" s="440"/>
    </row>
    <row r="49" spans="1:17" ht="11.25" customHeight="1">
      <c r="A49" s="1237" t="s">
        <v>139</v>
      </c>
      <c r="B49" s="1237"/>
      <c r="C49" s="559">
        <v>-18</v>
      </c>
      <c r="D49" s="473">
        <v>-35</v>
      </c>
      <c r="E49" s="473"/>
      <c r="F49" s="440"/>
    </row>
    <row r="50" spans="1:17" ht="11.25" customHeight="1">
      <c r="A50" s="1255" t="s">
        <v>185</v>
      </c>
      <c r="B50" s="1255"/>
      <c r="C50" s="536">
        <v>-284</v>
      </c>
      <c r="D50" s="433">
        <v>-274</v>
      </c>
      <c r="E50" s="433"/>
      <c r="F50" s="501"/>
    </row>
    <row r="51" spans="1:17" ht="11.25" customHeight="1">
      <c r="A51" s="1256" t="s">
        <v>348</v>
      </c>
      <c r="B51" s="1256"/>
      <c r="C51" s="536">
        <v>-256</v>
      </c>
      <c r="D51" s="433">
        <v>-118</v>
      </c>
      <c r="E51" s="433"/>
      <c r="F51" s="501"/>
    </row>
    <row r="52" spans="1:17" ht="11.25" customHeight="1">
      <c r="A52" s="612"/>
      <c r="B52" s="897"/>
      <c r="C52" s="559"/>
      <c r="D52" s="618"/>
      <c r="E52" s="618"/>
      <c r="F52" s="440"/>
    </row>
    <row r="53" spans="1:17" ht="11.25" customHeight="1">
      <c r="A53" s="1233" t="s">
        <v>885</v>
      </c>
      <c r="B53" s="1233"/>
      <c r="C53" s="540">
        <v>-119</v>
      </c>
      <c r="D53" s="442">
        <v>112</v>
      </c>
      <c r="E53" s="442"/>
      <c r="F53" s="440"/>
    </row>
    <row r="54" spans="1:17" ht="11.25" customHeight="1">
      <c r="A54" s="612"/>
      <c r="B54" s="897"/>
      <c r="C54" s="559"/>
      <c r="D54" s="618"/>
      <c r="E54" s="618"/>
      <c r="F54" s="440"/>
    </row>
    <row r="55" spans="1:17" ht="11.25" customHeight="1">
      <c r="A55" s="1237" t="s">
        <v>1065</v>
      </c>
      <c r="B55" s="1237"/>
      <c r="C55" s="559">
        <v>487</v>
      </c>
      <c r="D55" s="473">
        <v>379</v>
      </c>
      <c r="E55" s="473"/>
      <c r="F55" s="440"/>
    </row>
    <row r="56" spans="1:17" ht="11.25" customHeight="1">
      <c r="A56" s="1237" t="s">
        <v>703</v>
      </c>
      <c r="B56" s="1237"/>
      <c r="C56" s="559"/>
      <c r="D56" s="473">
        <v>-4.9130000000000003</v>
      </c>
      <c r="E56" s="473"/>
      <c r="F56" s="440"/>
    </row>
    <row r="57" spans="1:17" ht="11.25" customHeight="1">
      <c r="A57" s="1237" t="s">
        <v>1633</v>
      </c>
      <c r="B57" s="1237"/>
      <c r="C57" s="559">
        <v>369</v>
      </c>
      <c r="D57" s="473">
        <v>487</v>
      </c>
      <c r="E57" s="473"/>
      <c r="F57" s="440"/>
    </row>
    <row r="58" spans="1:17" ht="11.25" customHeight="1">
      <c r="B58" s="255"/>
      <c r="C58" s="256"/>
      <c r="D58" s="257"/>
      <c r="E58" s="257"/>
    </row>
    <row r="59" spans="1:17" s="1160" customFormat="1" ht="11.25" customHeight="1">
      <c r="A59" s="1261" t="s">
        <v>1651</v>
      </c>
      <c r="B59" s="1261"/>
      <c r="C59" s="1261"/>
      <c r="D59" s="1261"/>
      <c r="E59" s="1261"/>
      <c r="F59" s="1261"/>
      <c r="G59" s="1161"/>
      <c r="H59" s="1161"/>
      <c r="I59" s="1161"/>
      <c r="J59" s="1161"/>
      <c r="K59" s="1161"/>
      <c r="L59" s="1161"/>
      <c r="M59" s="1161"/>
      <c r="N59" s="1161"/>
      <c r="O59" s="1161"/>
      <c r="P59" s="1161"/>
      <c r="Q59" s="1161"/>
    </row>
    <row r="60" spans="1:17" s="1160" customFormat="1" ht="11.25" customHeight="1">
      <c r="B60" s="255"/>
      <c r="C60" s="256"/>
      <c r="D60" s="257"/>
      <c r="E60" s="257"/>
      <c r="F60" s="393"/>
      <c r="G60" s="1161"/>
      <c r="H60" s="1161"/>
      <c r="I60" s="1161"/>
      <c r="J60" s="1161"/>
      <c r="K60" s="1161"/>
      <c r="L60" s="1161"/>
      <c r="M60" s="1161"/>
      <c r="N60" s="1161"/>
      <c r="O60" s="1161"/>
      <c r="P60" s="1161"/>
      <c r="Q60" s="1161"/>
    </row>
    <row r="61" spans="1:17" ht="11.25" customHeight="1">
      <c r="A61" s="1261" t="s">
        <v>870</v>
      </c>
      <c r="B61" s="1261"/>
      <c r="C61" s="1261"/>
      <c r="D61" s="1261"/>
      <c r="E61" s="1261"/>
      <c r="F61" s="1261"/>
    </row>
    <row r="62" spans="1:17" ht="11.25" customHeight="1">
      <c r="B62" s="259"/>
      <c r="C62" s="258"/>
      <c r="D62" s="257"/>
      <c r="E62" s="257"/>
    </row>
    <row r="63" spans="1:17" ht="10.5" customHeight="1">
      <c r="B63" s="259"/>
      <c r="C63" s="258"/>
      <c r="D63" s="257"/>
      <c r="E63" s="257"/>
    </row>
    <row r="64" spans="1:17" ht="10.5" customHeight="1">
      <c r="B64" s="1247"/>
      <c r="C64" s="1247"/>
      <c r="D64" s="1247"/>
      <c r="E64" s="1247"/>
      <c r="F64" s="1247"/>
    </row>
    <row r="65" spans="2:5" ht="10.5" customHeight="1">
      <c r="B65" s="259"/>
      <c r="C65" s="258"/>
      <c r="D65" s="257"/>
      <c r="E65" s="257"/>
    </row>
    <row r="66" spans="2:5" ht="10.5" customHeight="1">
      <c r="B66" s="259"/>
      <c r="C66" s="258"/>
      <c r="D66" s="257"/>
      <c r="E66" s="257"/>
    </row>
    <row r="67" spans="2:5" ht="12">
      <c r="B67" s="259"/>
      <c r="C67" s="258"/>
      <c r="D67" s="257"/>
      <c r="E67" s="257"/>
    </row>
    <row r="68" spans="2:5" ht="12">
      <c r="B68" s="259"/>
      <c r="C68" s="258"/>
      <c r="D68" s="257"/>
      <c r="E68" s="257"/>
    </row>
    <row r="69" spans="2:5" ht="12">
      <c r="B69" s="259"/>
      <c r="C69" s="258"/>
      <c r="D69" s="257"/>
      <c r="E69" s="257"/>
    </row>
    <row r="70" spans="2:5" ht="12">
      <c r="B70" s="259"/>
      <c r="C70" s="258"/>
      <c r="D70" s="257"/>
      <c r="E70" s="257"/>
    </row>
    <row r="71" spans="2:5" ht="12">
      <c r="B71" s="259"/>
      <c r="C71" s="258"/>
      <c r="D71" s="257"/>
      <c r="E71" s="257"/>
    </row>
    <row r="72" spans="2:5" ht="12">
      <c r="B72" s="259"/>
      <c r="C72" s="258"/>
      <c r="D72" s="257"/>
      <c r="E72" s="257"/>
    </row>
    <row r="73" spans="2:5" ht="12">
      <c r="B73" s="259"/>
      <c r="C73" s="258"/>
      <c r="D73" s="257"/>
      <c r="E73" s="257"/>
    </row>
    <row r="74" spans="2:5" ht="12">
      <c r="B74" s="259"/>
      <c r="C74" s="260"/>
      <c r="D74" s="261"/>
      <c r="E74" s="261"/>
    </row>
    <row r="75" spans="2:5" ht="12">
      <c r="B75" s="259"/>
      <c r="C75" s="260"/>
      <c r="D75" s="261"/>
      <c r="E75" s="261"/>
    </row>
    <row r="76" spans="2:5" ht="12">
      <c r="B76" s="259"/>
      <c r="C76" s="260"/>
      <c r="D76" s="261"/>
      <c r="E76" s="261"/>
    </row>
    <row r="77" spans="2:5" ht="12">
      <c r="B77" s="259"/>
      <c r="C77" s="260"/>
      <c r="D77" s="261"/>
      <c r="E77" s="261"/>
    </row>
    <row r="78" spans="2:5">
      <c r="B78" s="237"/>
      <c r="C78" s="262"/>
      <c r="D78" s="217"/>
      <c r="E78" s="217"/>
    </row>
    <row r="79" spans="2:5">
      <c r="B79" s="237"/>
      <c r="C79" s="262"/>
      <c r="D79" s="217"/>
      <c r="E79" s="217"/>
    </row>
    <row r="80" spans="2:5">
      <c r="B80" s="237"/>
      <c r="C80" s="262"/>
      <c r="D80" s="217"/>
      <c r="E80" s="217"/>
    </row>
    <row r="81" spans="2:5">
      <c r="B81" s="237"/>
      <c r="C81" s="262"/>
      <c r="D81" s="217"/>
      <c r="E81" s="217"/>
    </row>
    <row r="82" spans="2:5">
      <c r="B82" s="237"/>
      <c r="C82" s="262"/>
      <c r="D82" s="217"/>
      <c r="E82" s="217"/>
    </row>
    <row r="83" spans="2:5">
      <c r="B83" s="237"/>
      <c r="C83" s="262"/>
      <c r="D83" s="217"/>
      <c r="E83" s="217"/>
    </row>
    <row r="84" spans="2:5">
      <c r="B84" s="237"/>
      <c r="C84" s="262"/>
      <c r="D84" s="217"/>
      <c r="E84" s="217"/>
    </row>
    <row r="85" spans="2:5">
      <c r="B85" s="237"/>
      <c r="C85" s="262"/>
      <c r="D85" s="217"/>
      <c r="E85" s="217"/>
    </row>
    <row r="86" spans="2:5">
      <c r="B86" s="237"/>
      <c r="C86" s="262"/>
      <c r="D86" s="217"/>
      <c r="E86" s="217"/>
    </row>
    <row r="87" spans="2:5">
      <c r="C87" s="262"/>
      <c r="D87" s="217"/>
      <c r="E87" s="217"/>
    </row>
    <row r="88" spans="2:5">
      <c r="C88" s="262"/>
      <c r="D88" s="217"/>
      <c r="E88" s="217"/>
    </row>
    <row r="89" spans="2:5">
      <c r="C89" s="262"/>
      <c r="D89" s="217"/>
      <c r="E89" s="217"/>
    </row>
    <row r="90" spans="2:5">
      <c r="C90" s="262"/>
      <c r="D90" s="217"/>
      <c r="E90" s="217"/>
    </row>
    <row r="91" spans="2:5">
      <c r="C91" s="262"/>
      <c r="D91" s="217"/>
      <c r="E91" s="217"/>
    </row>
    <row r="92" spans="2:5">
      <c r="C92" s="262"/>
      <c r="D92" s="217"/>
      <c r="E92" s="217"/>
    </row>
    <row r="93" spans="2:5">
      <c r="C93" s="262"/>
      <c r="D93" s="217"/>
      <c r="E93" s="217"/>
    </row>
    <row r="94" spans="2:5">
      <c r="C94" s="262"/>
      <c r="D94" s="217"/>
      <c r="E94" s="217"/>
    </row>
    <row r="95" spans="2:5">
      <c r="C95" s="262"/>
      <c r="D95" s="217"/>
      <c r="E95" s="217"/>
    </row>
    <row r="96" spans="2:5">
      <c r="C96" s="262"/>
      <c r="D96" s="217"/>
      <c r="E96" s="217"/>
    </row>
    <row r="97" spans="3:5">
      <c r="C97" s="262"/>
      <c r="D97" s="217"/>
      <c r="E97" s="217"/>
    </row>
    <row r="98" spans="3:5">
      <c r="C98" s="217"/>
      <c r="D98" s="217"/>
      <c r="E98" s="217"/>
    </row>
    <row r="99" spans="3:5">
      <c r="C99" s="217"/>
      <c r="D99" s="217"/>
      <c r="E99" s="217"/>
    </row>
    <row r="100" spans="3:5">
      <c r="C100" s="217"/>
      <c r="D100" s="217"/>
      <c r="E100" s="217"/>
    </row>
    <row r="101" spans="3:5">
      <c r="C101" s="217"/>
      <c r="D101" s="217"/>
      <c r="E101" s="217"/>
    </row>
    <row r="102" spans="3:5">
      <c r="C102" s="217"/>
      <c r="D102" s="217"/>
      <c r="E102" s="217"/>
    </row>
    <row r="103" spans="3:5">
      <c r="C103" s="217"/>
      <c r="D103" s="217"/>
      <c r="E103" s="217"/>
    </row>
    <row r="104" spans="3:5">
      <c r="C104" s="217"/>
      <c r="D104" s="217"/>
      <c r="E104" s="217"/>
    </row>
    <row r="105" spans="3:5">
      <c r="C105" s="217"/>
      <c r="D105" s="217"/>
      <c r="E105" s="217"/>
    </row>
    <row r="106" spans="3:5">
      <c r="C106" s="217"/>
      <c r="D106" s="217"/>
      <c r="E106" s="217"/>
    </row>
    <row r="107" spans="3:5">
      <c r="C107" s="217"/>
      <c r="D107" s="217"/>
      <c r="E107" s="217"/>
    </row>
    <row r="108" spans="3:5">
      <c r="C108" s="217"/>
      <c r="D108" s="217"/>
      <c r="E108" s="217"/>
    </row>
    <row r="109" spans="3:5">
      <c r="C109" s="217"/>
      <c r="D109" s="217"/>
      <c r="E109" s="217"/>
    </row>
    <row r="110" spans="3:5">
      <c r="C110" s="217"/>
      <c r="D110" s="217"/>
      <c r="E110" s="217"/>
    </row>
    <row r="111" spans="3:5">
      <c r="C111" s="217"/>
      <c r="D111" s="217"/>
      <c r="E111" s="217"/>
    </row>
    <row r="112" spans="3:5">
      <c r="C112" s="217"/>
      <c r="D112" s="217"/>
      <c r="E112" s="217"/>
    </row>
    <row r="113" spans="2:5">
      <c r="C113" s="217"/>
      <c r="D113" s="217"/>
      <c r="E113" s="217"/>
    </row>
    <row r="114" spans="2:5">
      <c r="C114" s="217"/>
      <c r="D114" s="217"/>
      <c r="E114" s="217"/>
    </row>
    <row r="115" spans="2:5">
      <c r="C115" s="217"/>
      <c r="D115" s="217"/>
      <c r="E115" s="217"/>
    </row>
    <row r="116" spans="2:5">
      <c r="C116" s="217"/>
      <c r="D116" s="217"/>
      <c r="E116" s="217"/>
    </row>
    <row r="117" spans="2:5">
      <c r="C117" s="217"/>
      <c r="D117" s="217"/>
      <c r="E117" s="217"/>
    </row>
    <row r="118" spans="2:5">
      <c r="C118" s="217"/>
      <c r="D118" s="217"/>
      <c r="E118" s="217"/>
    </row>
    <row r="119" spans="2:5">
      <c r="C119" s="217"/>
      <c r="D119" s="217"/>
      <c r="E119" s="217"/>
    </row>
    <row r="120" spans="2:5">
      <c r="C120" s="217"/>
      <c r="D120" s="217"/>
      <c r="E120" s="217"/>
    </row>
    <row r="121" spans="2:5">
      <c r="C121" s="217"/>
      <c r="D121" s="217"/>
      <c r="E121" s="217"/>
    </row>
    <row r="122" spans="2:5">
      <c r="C122" s="217"/>
      <c r="D122" s="217"/>
      <c r="E122" s="217"/>
    </row>
    <row r="123" spans="2:5">
      <c r="C123" s="217"/>
      <c r="D123" s="217"/>
      <c r="E123" s="217"/>
    </row>
    <row r="124" spans="2:5">
      <c r="B124" s="259"/>
      <c r="C124" s="217"/>
      <c r="D124" s="217"/>
      <c r="E124" s="217"/>
    </row>
    <row r="125" spans="2:5">
      <c r="C125" s="217"/>
      <c r="D125" s="217"/>
      <c r="E125" s="217"/>
    </row>
    <row r="126" spans="2:5">
      <c r="C126" s="217"/>
      <c r="D126" s="217"/>
      <c r="E126" s="217"/>
    </row>
    <row r="127" spans="2:5">
      <c r="C127" s="217"/>
      <c r="D127" s="217"/>
      <c r="E127" s="217"/>
    </row>
    <row r="128" spans="2:5">
      <c r="C128" s="217"/>
      <c r="D128" s="217"/>
      <c r="E128" s="217"/>
    </row>
    <row r="129" spans="3:5">
      <c r="C129" s="217"/>
      <c r="D129" s="217"/>
      <c r="E129" s="217"/>
    </row>
    <row r="130" spans="3:5">
      <c r="C130" s="217"/>
      <c r="D130" s="217"/>
      <c r="E130" s="217"/>
    </row>
    <row r="131" spans="3:5">
      <c r="C131" s="217"/>
      <c r="D131" s="217"/>
      <c r="E131" s="217"/>
    </row>
    <row r="132" spans="3:5">
      <c r="C132" s="217"/>
      <c r="D132" s="217"/>
      <c r="E132" s="217"/>
    </row>
    <row r="133" spans="3:5">
      <c r="C133" s="217"/>
      <c r="D133" s="217"/>
      <c r="E133" s="217"/>
    </row>
    <row r="134" spans="3:5">
      <c r="C134" s="217"/>
      <c r="D134" s="217"/>
      <c r="E134" s="217"/>
    </row>
    <row r="135" spans="3:5">
      <c r="C135" s="217"/>
      <c r="D135" s="217"/>
      <c r="E135" s="217"/>
    </row>
    <row r="136" spans="3:5">
      <c r="C136" s="217"/>
      <c r="D136" s="217"/>
      <c r="E136" s="217"/>
    </row>
    <row r="137" spans="3:5">
      <c r="C137" s="217"/>
      <c r="D137" s="217"/>
      <c r="E137" s="217"/>
    </row>
    <row r="138" spans="3:5">
      <c r="C138" s="217"/>
      <c r="D138" s="217"/>
      <c r="E138" s="217"/>
    </row>
    <row r="139" spans="3:5">
      <c r="C139" s="217"/>
      <c r="D139" s="217"/>
      <c r="E139" s="217"/>
    </row>
    <row r="140" spans="3:5">
      <c r="C140" s="217"/>
      <c r="D140" s="217"/>
      <c r="E140" s="217"/>
    </row>
    <row r="141" spans="3:5">
      <c r="C141" s="217"/>
      <c r="D141" s="217"/>
      <c r="E141" s="217"/>
    </row>
    <row r="142" spans="3:5">
      <c r="C142" s="217"/>
      <c r="D142" s="217"/>
      <c r="E142" s="217"/>
    </row>
    <row r="143" spans="3:5">
      <c r="C143" s="217"/>
      <c r="D143" s="217"/>
      <c r="E143" s="217"/>
    </row>
    <row r="144" spans="3:5">
      <c r="C144" s="217"/>
      <c r="D144" s="217"/>
      <c r="E144" s="217"/>
    </row>
    <row r="145" spans="3:5">
      <c r="C145" s="217"/>
      <c r="D145" s="217"/>
      <c r="E145" s="217"/>
    </row>
    <row r="146" spans="3:5">
      <c r="C146" s="217"/>
      <c r="D146" s="217"/>
      <c r="E146" s="217"/>
    </row>
    <row r="147" spans="3:5">
      <c r="C147" s="217"/>
      <c r="D147" s="217"/>
      <c r="E147" s="217"/>
    </row>
    <row r="148" spans="3:5">
      <c r="C148" s="217"/>
      <c r="D148" s="217"/>
      <c r="E148" s="217"/>
    </row>
    <row r="149" spans="3:5">
      <c r="C149" s="217"/>
      <c r="D149" s="217"/>
      <c r="E149" s="217"/>
    </row>
    <row r="150" spans="3:5">
      <c r="C150" s="217"/>
      <c r="D150" s="217"/>
      <c r="E150" s="217"/>
    </row>
    <row r="151" spans="3:5">
      <c r="C151" s="217"/>
      <c r="D151" s="217"/>
      <c r="E151" s="217"/>
    </row>
    <row r="152" spans="3:5">
      <c r="C152" s="217"/>
      <c r="D152" s="217"/>
      <c r="E152" s="217"/>
    </row>
    <row r="153" spans="3:5">
      <c r="C153" s="217"/>
      <c r="D153" s="217"/>
      <c r="E153" s="217"/>
    </row>
    <row r="154" spans="3:5">
      <c r="C154" s="217"/>
      <c r="D154" s="217"/>
      <c r="E154" s="217"/>
    </row>
    <row r="155" spans="3:5">
      <c r="C155" s="217"/>
      <c r="D155" s="217"/>
      <c r="E155" s="217"/>
    </row>
    <row r="156" spans="3:5">
      <c r="C156" s="217"/>
      <c r="D156" s="217"/>
      <c r="E156" s="217"/>
    </row>
    <row r="157" spans="3:5">
      <c r="C157" s="217"/>
      <c r="D157" s="217"/>
      <c r="E157" s="217"/>
    </row>
    <row r="158" spans="3:5">
      <c r="C158" s="217"/>
      <c r="D158" s="217"/>
      <c r="E158" s="217"/>
    </row>
    <row r="159" spans="3:5">
      <c r="C159" s="217"/>
      <c r="D159" s="217"/>
      <c r="E159" s="217"/>
    </row>
    <row r="160" spans="3:5">
      <c r="C160" s="217"/>
      <c r="D160" s="217"/>
      <c r="E160" s="217"/>
    </row>
    <row r="161" spans="3:5">
      <c r="C161" s="217"/>
      <c r="D161" s="217"/>
      <c r="E161" s="217"/>
    </row>
    <row r="162" spans="3:5">
      <c r="C162" s="217"/>
      <c r="D162" s="217"/>
      <c r="E162" s="217"/>
    </row>
    <row r="163" spans="3:5">
      <c r="C163" s="217"/>
      <c r="D163" s="217"/>
      <c r="E163" s="217"/>
    </row>
    <row r="164" spans="3:5">
      <c r="C164" s="217"/>
      <c r="D164" s="217"/>
      <c r="E164" s="217"/>
    </row>
    <row r="165" spans="3:5">
      <c r="C165" s="217"/>
      <c r="D165" s="217"/>
      <c r="E165" s="217"/>
    </row>
    <row r="166" spans="3:5">
      <c r="C166" s="217"/>
      <c r="D166" s="217"/>
      <c r="E166" s="217"/>
    </row>
    <row r="167" spans="3:5">
      <c r="C167" s="217"/>
      <c r="D167" s="217"/>
      <c r="E167" s="217"/>
    </row>
    <row r="168" spans="3:5">
      <c r="C168" s="217"/>
      <c r="D168" s="217"/>
      <c r="E168" s="217"/>
    </row>
    <row r="169" spans="3:5">
      <c r="C169" s="217"/>
      <c r="D169" s="217"/>
      <c r="E169" s="217"/>
    </row>
    <row r="170" spans="3:5">
      <c r="C170" s="217"/>
      <c r="D170" s="217"/>
      <c r="E170" s="217"/>
    </row>
    <row r="171" spans="3:5">
      <c r="C171" s="217"/>
      <c r="D171" s="217"/>
      <c r="E171" s="217"/>
    </row>
    <row r="172" spans="3:5">
      <c r="C172" s="217"/>
      <c r="D172" s="217"/>
      <c r="E172" s="217"/>
    </row>
    <row r="173" spans="3:5">
      <c r="C173" s="217"/>
      <c r="D173" s="217"/>
      <c r="E173" s="217"/>
    </row>
    <row r="174" spans="3:5">
      <c r="C174" s="217"/>
      <c r="D174" s="217"/>
      <c r="E174" s="217"/>
    </row>
    <row r="175" spans="3:5">
      <c r="C175" s="217"/>
      <c r="D175" s="217"/>
      <c r="E175" s="217"/>
    </row>
    <row r="176" spans="3:5">
      <c r="C176" s="217"/>
      <c r="D176" s="217"/>
      <c r="E176" s="217"/>
    </row>
    <row r="177" spans="3:5">
      <c r="C177" s="217"/>
      <c r="D177" s="217"/>
      <c r="E177" s="217"/>
    </row>
    <row r="178" spans="3:5">
      <c r="C178" s="217"/>
      <c r="D178" s="217"/>
      <c r="E178" s="217"/>
    </row>
    <row r="179" spans="3:5">
      <c r="C179" s="217"/>
      <c r="D179" s="217"/>
      <c r="E179" s="217"/>
    </row>
    <row r="180" spans="3:5">
      <c r="C180" s="217"/>
      <c r="D180" s="217"/>
      <c r="E180" s="217"/>
    </row>
    <row r="181" spans="3:5">
      <c r="C181" s="217"/>
      <c r="D181" s="217"/>
      <c r="E181" s="217"/>
    </row>
    <row r="182" spans="3:5">
      <c r="C182" s="217"/>
      <c r="D182" s="217"/>
      <c r="E182" s="217"/>
    </row>
    <row r="183" spans="3:5">
      <c r="C183" s="217"/>
      <c r="D183" s="217"/>
      <c r="E183" s="217"/>
    </row>
    <row r="184" spans="3:5">
      <c r="C184" s="217"/>
      <c r="D184" s="217"/>
      <c r="E184" s="217"/>
    </row>
    <row r="185" spans="3:5">
      <c r="C185" s="217"/>
      <c r="D185" s="217"/>
      <c r="E185" s="217"/>
    </row>
    <row r="186" spans="3:5">
      <c r="C186" s="217"/>
      <c r="D186" s="217"/>
      <c r="E186" s="217"/>
    </row>
    <row r="187" spans="3:5">
      <c r="C187" s="217"/>
      <c r="D187" s="217"/>
      <c r="E187" s="217"/>
    </row>
    <row r="188" spans="3:5">
      <c r="C188" s="217"/>
      <c r="D188" s="217"/>
      <c r="E188" s="217"/>
    </row>
    <row r="189" spans="3:5">
      <c r="C189" s="217"/>
      <c r="D189" s="217"/>
      <c r="E189" s="217"/>
    </row>
    <row r="190" spans="3:5">
      <c r="C190" s="217"/>
      <c r="D190" s="217"/>
      <c r="E190" s="217"/>
    </row>
    <row r="191" spans="3:5">
      <c r="C191" s="217"/>
      <c r="D191" s="217"/>
      <c r="E191" s="217"/>
    </row>
    <row r="192" spans="3:5">
      <c r="C192" s="217"/>
      <c r="D192" s="217"/>
      <c r="E192" s="217"/>
    </row>
    <row r="193" spans="3:5">
      <c r="C193" s="217"/>
      <c r="D193" s="217"/>
      <c r="E193" s="217"/>
    </row>
    <row r="194" spans="3:5">
      <c r="C194" s="217"/>
      <c r="D194" s="217"/>
      <c r="E194" s="217"/>
    </row>
    <row r="195" spans="3:5">
      <c r="C195" s="217"/>
      <c r="D195" s="217"/>
      <c r="E195" s="217"/>
    </row>
    <row r="196" spans="3:5">
      <c r="C196" s="217"/>
      <c r="D196" s="217"/>
      <c r="E196" s="217"/>
    </row>
    <row r="197" spans="3:5">
      <c r="C197" s="217"/>
      <c r="D197" s="217"/>
      <c r="E197" s="217"/>
    </row>
    <row r="198" spans="3:5">
      <c r="C198" s="217"/>
      <c r="D198" s="217"/>
      <c r="E198" s="217"/>
    </row>
    <row r="199" spans="3:5">
      <c r="C199" s="217"/>
      <c r="D199" s="217"/>
      <c r="E199" s="217"/>
    </row>
    <row r="200" spans="3:5">
      <c r="C200" s="217"/>
      <c r="D200" s="217"/>
      <c r="E200" s="217"/>
    </row>
    <row r="201" spans="3:5">
      <c r="C201" s="217"/>
      <c r="D201" s="217"/>
      <c r="E201" s="217"/>
    </row>
    <row r="202" spans="3:5">
      <c r="C202" s="217"/>
      <c r="D202" s="217"/>
      <c r="E202" s="217"/>
    </row>
    <row r="203" spans="3:5">
      <c r="C203" s="217"/>
      <c r="D203" s="217"/>
      <c r="E203" s="217"/>
    </row>
    <row r="204" spans="3:5">
      <c r="C204" s="217"/>
      <c r="D204" s="217"/>
      <c r="E204" s="217"/>
    </row>
    <row r="205" spans="3:5">
      <c r="C205" s="217"/>
      <c r="D205" s="217"/>
      <c r="E205" s="217"/>
    </row>
    <row r="206" spans="3:5">
      <c r="C206" s="217"/>
      <c r="D206" s="217"/>
      <c r="E206" s="217"/>
    </row>
    <row r="207" spans="3:5">
      <c r="C207" s="217"/>
      <c r="D207" s="217"/>
      <c r="E207" s="217"/>
    </row>
    <row r="208" spans="3:5">
      <c r="C208" s="217"/>
      <c r="D208" s="217"/>
      <c r="E208" s="217"/>
    </row>
    <row r="209" spans="3:5">
      <c r="C209" s="217"/>
      <c r="D209" s="217"/>
      <c r="E209" s="217"/>
    </row>
    <row r="210" spans="3:5">
      <c r="C210" s="217"/>
      <c r="D210" s="217"/>
      <c r="E210" s="217"/>
    </row>
    <row r="211" spans="3:5">
      <c r="C211" s="217"/>
      <c r="D211" s="217"/>
      <c r="E211" s="217"/>
    </row>
    <row r="212" spans="3:5">
      <c r="C212" s="217"/>
      <c r="D212" s="217"/>
      <c r="E212" s="217"/>
    </row>
    <row r="213" spans="3:5">
      <c r="C213" s="217"/>
      <c r="D213" s="217"/>
      <c r="E213" s="217"/>
    </row>
    <row r="214" spans="3:5">
      <c r="C214" s="217"/>
      <c r="D214" s="217"/>
      <c r="E214" s="217"/>
    </row>
    <row r="215" spans="3:5">
      <c r="C215" s="217"/>
      <c r="D215" s="217"/>
      <c r="E215" s="217"/>
    </row>
    <row r="216" spans="3:5">
      <c r="C216" s="217"/>
      <c r="D216" s="217"/>
      <c r="E216" s="217"/>
    </row>
    <row r="217" spans="3:5">
      <c r="C217" s="217"/>
      <c r="D217" s="217"/>
      <c r="E217" s="217"/>
    </row>
    <row r="218" spans="3:5">
      <c r="C218" s="217"/>
      <c r="D218" s="217"/>
      <c r="E218" s="217"/>
    </row>
    <row r="219" spans="3:5">
      <c r="C219" s="217"/>
      <c r="D219" s="217"/>
      <c r="E219" s="217"/>
    </row>
    <row r="220" spans="3:5">
      <c r="C220" s="217"/>
      <c r="D220" s="217"/>
      <c r="E220" s="217"/>
    </row>
    <row r="221" spans="3:5">
      <c r="C221" s="217"/>
      <c r="D221" s="217"/>
      <c r="E221" s="217"/>
    </row>
    <row r="222" spans="3:5">
      <c r="C222" s="217"/>
      <c r="D222" s="217"/>
      <c r="E222" s="217"/>
    </row>
    <row r="223" spans="3:5">
      <c r="C223" s="217"/>
      <c r="D223" s="217"/>
      <c r="E223" s="217"/>
    </row>
    <row r="224" spans="3:5">
      <c r="C224" s="217"/>
      <c r="D224" s="217"/>
      <c r="E224" s="217"/>
    </row>
    <row r="225" spans="3:5">
      <c r="C225" s="217"/>
      <c r="D225" s="217"/>
      <c r="E225" s="217"/>
    </row>
    <row r="226" spans="3:5">
      <c r="C226" s="217"/>
      <c r="D226" s="217"/>
      <c r="E226" s="217"/>
    </row>
    <row r="227" spans="3:5">
      <c r="C227" s="217"/>
      <c r="D227" s="217"/>
      <c r="E227" s="217"/>
    </row>
    <row r="228" spans="3:5">
      <c r="C228" s="217"/>
      <c r="D228" s="217"/>
      <c r="E228" s="217"/>
    </row>
    <row r="229" spans="3:5">
      <c r="C229" s="217"/>
      <c r="D229" s="217"/>
      <c r="E229" s="217"/>
    </row>
    <row r="230" spans="3:5">
      <c r="C230" s="217"/>
      <c r="D230" s="217"/>
      <c r="E230" s="217"/>
    </row>
    <row r="231" spans="3:5">
      <c r="C231" s="217"/>
      <c r="D231" s="217"/>
      <c r="E231" s="217"/>
    </row>
    <row r="232" spans="3:5">
      <c r="C232" s="217"/>
      <c r="D232" s="217"/>
      <c r="E232" s="217"/>
    </row>
    <row r="233" spans="3:5">
      <c r="C233" s="217"/>
      <c r="D233" s="217"/>
      <c r="E233" s="217"/>
    </row>
    <row r="234" spans="3:5">
      <c r="C234" s="217"/>
      <c r="D234" s="217"/>
      <c r="E234" s="217"/>
    </row>
    <row r="235" spans="3:5">
      <c r="C235" s="217"/>
      <c r="D235" s="217"/>
      <c r="E235" s="217"/>
    </row>
  </sheetData>
  <mergeCells count="53">
    <mergeCell ref="A59:F59"/>
    <mergeCell ref="A12:B12"/>
    <mergeCell ref="A10:B10"/>
    <mergeCell ref="A9:B9"/>
    <mergeCell ref="A8:B8"/>
    <mergeCell ref="A49:B49"/>
    <mergeCell ref="A35:B35"/>
    <mergeCell ref="A26:B26"/>
    <mergeCell ref="A36:B36"/>
    <mergeCell ref="A38:B38"/>
    <mergeCell ref="A27:B27"/>
    <mergeCell ref="A28:B28"/>
    <mergeCell ref="A30:B30"/>
    <mergeCell ref="A32:B32"/>
    <mergeCell ref="A33:B33"/>
    <mergeCell ref="A37:B37"/>
    <mergeCell ref="A7:B7"/>
    <mergeCell ref="A11:B11"/>
    <mergeCell ref="A40:B40"/>
    <mergeCell ref="A41:B41"/>
    <mergeCell ref="A61:F61"/>
    <mergeCell ref="A57:B57"/>
    <mergeCell ref="A56:B56"/>
    <mergeCell ref="A55:B55"/>
    <mergeCell ref="A53:B53"/>
    <mergeCell ref="A51:B51"/>
    <mergeCell ref="A50:B50"/>
    <mergeCell ref="A43:B43"/>
    <mergeCell ref="A45:B45"/>
    <mergeCell ref="A46:B46"/>
    <mergeCell ref="A47:B47"/>
    <mergeCell ref="A48:B48"/>
    <mergeCell ref="A22:B22"/>
    <mergeCell ref="A23:B23"/>
    <mergeCell ref="A24:B24"/>
    <mergeCell ref="A25:B25"/>
    <mergeCell ref="A34:B34"/>
    <mergeCell ref="A39:B39"/>
    <mergeCell ref="E3:F3"/>
    <mergeCell ref="B64:F64"/>
    <mergeCell ref="A1:F1"/>
    <mergeCell ref="A3:B3"/>
    <mergeCell ref="A4:B4"/>
    <mergeCell ref="A5:B5"/>
    <mergeCell ref="A6:B6"/>
    <mergeCell ref="A13:B13"/>
    <mergeCell ref="A15:B15"/>
    <mergeCell ref="A16:B16"/>
    <mergeCell ref="A17:B17"/>
    <mergeCell ref="A18:B18"/>
    <mergeCell ref="A19:B19"/>
    <mergeCell ref="A20:B20"/>
    <mergeCell ref="A21:B21"/>
  </mergeCells>
  <phoneticPr fontId="0" type="noConversion"/>
  <hyperlinks>
    <hyperlink ref="F7" r:id="rId1" location="9-depreciation-amortisation-and-impairment" display="http://www.wartsilareports.com/en-US/2019/ar/financial-review/financial-statements/consolidated-financial-statements/notes-to-the-consolidated-financial-statements/ - 9-depreciation-amortisation-and-impairment" xr:uid="{00000000-0004-0000-0500-000000000000}"/>
    <hyperlink ref="F8" r:id="rId2" location="11-financial-income-and-expenses" display="http://www.wartsilareports.com/en-US/2019/ar/financial-review/financial-statements/consolidated-financial-statements/notes-to-the-consolidated-financial-statements/ - 11-financial-income-and-expenses" xr:uid="{00000000-0004-0000-0500-000001000000}"/>
    <hyperlink ref="F11" r:id="rId3" location="12-income-taxes" display="http://www.wartsilareports.com/en-US/2019/ar/financial-review/financial-statements/consolidated-financial-statements/notes-to-the-consolidated-financial-statements/ - 12-income-taxes" xr:uid="{F1706FA3-854A-47DB-A13D-DBFECA2ACA61}"/>
    <hyperlink ref="F39" r:id="rId4" location="3-disposals" display="http://www.wartsilareports.com/en-US/2019/ar/financial-review/financial-statements/consolidated-financial-statements/notes-to-the-consolidated-financial-statements/ - 3-disposals" xr:uid="{25DA5E35-9D57-406D-8459-2EB737060029}"/>
    <hyperlink ref="F47" r:id="rId5" location="28-financial-liabilities" display="http://www.wartsilareports.com/en-US/2019/ar/financial-review/financial-statements/consolidated-financial-statements/notes-to-the-consolidated-financial-statements/ - 28-financial-liabilities" xr:uid="{2DCF3AEA-4154-4DBD-9A7F-BE794D719B04}"/>
    <hyperlink ref="E38" r:id="rId6" location="14-intangible-assets" display="http://www.wartsilareports.com/en-US/2019/ar/financial-review/financial-statements/consolidated-financial-statements/notes-to-the-consolidated-financial-statements/ - 14-intangible-assets" xr:uid="{8D4EC4D6-16DA-47DE-B02D-F48928389F00}"/>
    <hyperlink ref="E36" r:id="rId7" location="14-intangible-assets" display="http://www.wartsilareports.com/en-US/2019/ar/financial-review/financial-statements/consolidated-financial-statements/notes-to-the-consolidated-financial-statements/ - 14-intangible-assets" xr:uid="{A9B8393F-F5F7-4C97-ACFF-DE713C053069}"/>
    <hyperlink ref="F36" r:id="rId8" location="15-property-plant-and-equipment" display="http://www.wartsilareports.com/en-US/2019/ar/financial-review/financial-statements/consolidated-financial-statements/notes-to-the-consolidated-financial-statements/ - 15-property-plant-and-equipment" xr:uid="{FAD198DB-FB4B-4C28-A34C-1428A0986F53}"/>
    <hyperlink ref="F38" r:id="rId9" location="15-property-plant-and-equipment" display="http://www.wartsilareports.com/en-US/2019/ar/financial-review/financial-statements/consolidated-financial-statements/notes-to-the-consolidated-financial-statements/ - 15-property-plant-and-equipment" xr:uid="{278B8532-F23A-45B2-996D-E8088BE72A9E}"/>
    <hyperlink ref="F35" r:id="rId10" location="18-financial-assets-and-liabilities-by-measurement-category" display="http://www.wartsilareports.com/en-US/2019/ar/financial-review/financial-statements/consolidated-financial-statements/notes-to-the-consolidated-financial-statements/ - 18-financial-assets-and-liabilities-by-measurement-category" xr:uid="{58438610-A740-4516-A0E3-48A7605D7D14}"/>
    <hyperlink ref="F34" r:id="rId11" location="17-investments-in-associates-and-joint-ventures" display="http://www.wartsilareports.com/en-US/2019/ar/financial-review/financial-statements/consolidated-financial-statements/notes-to-the-consolidated-financial-statements/ - 17-investments-in-associates-and-joint-ventures" xr:uid="{91CC71A7-0A02-4D6A-AA95-588F1462A308}"/>
    <hyperlink ref="F10" r:id="rId12" location="17-investments-in-associates-and-joint-ventures" display="http://www.wartsilareports.com/en-US/2019/ar/financial-review/financial-statements/consolidated-financial-statements/notes-to-the-consolidated-financial-statements/ - 17-investments-in-associates-and-joint-ventures" xr:uid="{A3A0DF44-4A04-431F-9CBB-457C6A259DAD}"/>
    <hyperlink ref="F33" r:id="rId13" location="2-acquisitions" display="http://www.wartsilareports.com/en-US/2019/ar/financial-review/financial-statements/consolidated-financial-statements/notes-to-the-consolidated-financial-statements/ - 2-acquisitions" xr:uid="{1B1A181C-0C6D-44B1-81FC-2F2529FB3DA5}"/>
    <hyperlink ref="F17" r:id="rId14" location="19-inventories" display="http://www.wartsilareports.com/en-US/2019/ar/financial-review/financial-statements/consolidated-financial-statements/notes-to-the-consolidated-financial-statements/ - 19-inventories" xr:uid="{1D6EE4A0-4DEE-4465-8AED-13C2CDF2263C}"/>
  </hyperlinks>
  <pageMargins left="0.75" right="0.75" top="1" bottom="1" header="0.5" footer="0.5"/>
  <pageSetup scale="85" orientation="portrait" r:id="rId15"/>
  <headerFooter alignWithMargins="0"/>
  <customProperties>
    <customPr name="SheetOptions" r:id="rId16"/>
  </customPropertie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40"/>
  <sheetViews>
    <sheetView zoomScaleNormal="100" workbookViewId="0">
      <selection sqref="A1:K1"/>
    </sheetView>
  </sheetViews>
  <sheetFormatPr defaultColWidth="8.6640625" defaultRowHeight="11.25"/>
  <cols>
    <col min="1" max="1" width="2.5" style="224" customWidth="1"/>
    <col min="2" max="2" width="36.6640625" style="224" customWidth="1"/>
    <col min="3" max="3" width="8.33203125" style="229" customWidth="1"/>
    <col min="4" max="8" width="10.6640625" style="229" customWidth="1"/>
    <col min="9" max="9" width="10" style="229" customWidth="1"/>
    <col min="10" max="10" width="10.6640625" style="229" customWidth="1"/>
    <col min="11" max="11" width="8.33203125" style="229" customWidth="1"/>
    <col min="12" max="17" width="3.6640625" style="205" customWidth="1"/>
    <col min="18" max="16384" width="8.6640625" style="1149"/>
  </cols>
  <sheetData>
    <row r="1" spans="1:17" ht="15.75" customHeight="1">
      <c r="A1" s="1252" t="s">
        <v>925</v>
      </c>
      <c r="B1" s="1244"/>
      <c r="C1" s="1244"/>
      <c r="D1" s="1244"/>
      <c r="E1" s="1244"/>
      <c r="F1" s="1244"/>
      <c r="G1" s="1244"/>
      <c r="H1" s="1244"/>
      <c r="I1" s="1244"/>
      <c r="J1" s="1244"/>
      <c r="K1" s="1244"/>
    </row>
    <row r="2" spans="1:17" ht="11.25" customHeight="1">
      <c r="A2" s="246"/>
      <c r="B2" s="247"/>
      <c r="C2" s="233"/>
      <c r="D2" s="248"/>
      <c r="E2" s="248"/>
      <c r="F2" s="248"/>
      <c r="G2" s="248"/>
      <c r="H2" s="248"/>
      <c r="I2" s="249"/>
      <c r="J2" s="248"/>
      <c r="K2" s="240"/>
    </row>
    <row r="3" spans="1:17" ht="34.5" customHeight="1">
      <c r="A3" s="522"/>
      <c r="B3" s="522"/>
      <c r="C3" s="1267" t="s">
        <v>879</v>
      </c>
      <c r="D3" s="1268"/>
      <c r="E3" s="1268"/>
      <c r="F3" s="1268"/>
      <c r="G3" s="1268"/>
      <c r="H3" s="1268"/>
      <c r="I3" s="1268"/>
      <c r="J3" s="903" t="s">
        <v>887</v>
      </c>
      <c r="K3" s="903" t="s">
        <v>143</v>
      </c>
    </row>
    <row r="4" spans="1:17" ht="52.5" customHeight="1">
      <c r="A4" s="1269" t="s">
        <v>700</v>
      </c>
      <c r="B4" s="1269"/>
      <c r="C4" s="903" t="s">
        <v>140</v>
      </c>
      <c r="D4" s="903" t="s">
        <v>858</v>
      </c>
      <c r="E4" s="903" t="s">
        <v>1222</v>
      </c>
      <c r="F4" s="903" t="s">
        <v>141</v>
      </c>
      <c r="G4" s="956" t="s">
        <v>1102</v>
      </c>
      <c r="H4" s="903" t="s">
        <v>142</v>
      </c>
      <c r="I4" s="903" t="s">
        <v>641</v>
      </c>
      <c r="J4" s="904"/>
      <c r="K4" s="904"/>
    </row>
    <row r="5" spans="1:17" ht="12" customHeight="1">
      <c r="A5" s="1233" t="s">
        <v>1265</v>
      </c>
      <c r="B5" s="1233"/>
      <c r="C5" s="442">
        <v>336</v>
      </c>
      <c r="D5" s="442">
        <v>61</v>
      </c>
      <c r="E5" s="442">
        <v>-132</v>
      </c>
      <c r="F5" s="442">
        <v>-10</v>
      </c>
      <c r="G5" s="442">
        <v>-38</v>
      </c>
      <c r="H5" s="442">
        <v>2135</v>
      </c>
      <c r="I5" s="442">
        <v>2352</v>
      </c>
      <c r="J5" s="442">
        <v>24</v>
      </c>
      <c r="K5" s="442">
        <v>2376</v>
      </c>
      <c r="L5" s="747"/>
      <c r="M5" s="235"/>
      <c r="N5" s="235"/>
      <c r="O5" s="747"/>
      <c r="P5" s="747"/>
      <c r="Q5" s="747"/>
    </row>
    <row r="6" spans="1:17" ht="12" customHeight="1">
      <c r="A6" s="1223" t="s">
        <v>370</v>
      </c>
      <c r="B6" s="1223"/>
      <c r="C6" s="485"/>
      <c r="D6" s="485"/>
      <c r="E6" s="442">
        <v>-24</v>
      </c>
      <c r="F6" s="485"/>
      <c r="G6" s="485"/>
      <c r="H6" s="485"/>
      <c r="I6" s="442">
        <v>-24</v>
      </c>
      <c r="J6" s="442">
        <v>-1</v>
      </c>
      <c r="K6" s="442">
        <v>-25</v>
      </c>
      <c r="M6" s="235"/>
      <c r="N6" s="235"/>
    </row>
    <row r="7" spans="1:17" ht="12" customHeight="1">
      <c r="A7" s="1223" t="s">
        <v>448</v>
      </c>
      <c r="B7" s="1223" t="s">
        <v>449</v>
      </c>
      <c r="C7" s="442"/>
      <c r="D7" s="442"/>
      <c r="E7" s="442"/>
      <c r="F7" s="442"/>
      <c r="G7" s="442"/>
      <c r="H7" s="442"/>
      <c r="I7" s="442"/>
      <c r="J7" s="442"/>
      <c r="K7" s="442"/>
    </row>
    <row r="8" spans="1:17" ht="12" customHeight="1">
      <c r="A8" s="1254" t="s">
        <v>860</v>
      </c>
      <c r="B8" s="1254"/>
      <c r="C8" s="442"/>
      <c r="D8" s="442"/>
      <c r="E8" s="442"/>
      <c r="F8" s="442">
        <v>-14</v>
      </c>
      <c r="G8" s="442"/>
      <c r="H8" s="442"/>
      <c r="I8" s="442">
        <v>-14</v>
      </c>
      <c r="J8" s="442"/>
      <c r="K8" s="442">
        <v>-14</v>
      </c>
    </row>
    <row r="9" spans="1:17" ht="21.75" customHeight="1">
      <c r="A9" s="1254" t="s">
        <v>886</v>
      </c>
      <c r="B9" s="1254"/>
      <c r="C9" s="442"/>
      <c r="D9" s="442"/>
      <c r="E9" s="442"/>
      <c r="F9" s="442">
        <v>-6</v>
      </c>
      <c r="G9" s="442"/>
      <c r="H9" s="442"/>
      <c r="I9" s="442">
        <v>-6</v>
      </c>
      <c r="J9" s="442"/>
      <c r="K9" s="442">
        <v>-6</v>
      </c>
    </row>
    <row r="10" spans="1:17" ht="11.25" customHeight="1">
      <c r="A10" s="1223" t="s">
        <v>692</v>
      </c>
      <c r="B10" s="1223" t="s">
        <v>691</v>
      </c>
      <c r="C10" s="442"/>
      <c r="D10" s="442"/>
      <c r="E10" s="442"/>
      <c r="F10" s="442"/>
      <c r="G10" s="442">
        <v>-3</v>
      </c>
      <c r="H10" s="442"/>
      <c r="I10" s="442">
        <v>-3</v>
      </c>
      <c r="J10" s="442"/>
      <c r="K10" s="442">
        <v>-3</v>
      </c>
    </row>
    <row r="11" spans="1:17" ht="12" customHeight="1">
      <c r="A11" s="1224" t="s">
        <v>640</v>
      </c>
      <c r="B11" s="1224" t="s">
        <v>668</v>
      </c>
      <c r="C11" s="433"/>
      <c r="D11" s="433"/>
      <c r="E11" s="433"/>
      <c r="F11" s="433"/>
      <c r="G11" s="433">
        <v>3</v>
      </c>
      <c r="H11" s="433">
        <v>-3</v>
      </c>
      <c r="I11" s="433"/>
      <c r="J11" s="433"/>
      <c r="K11" s="433"/>
    </row>
    <row r="12" spans="1:17" ht="12" customHeight="1">
      <c r="A12" s="1233" t="s">
        <v>170</v>
      </c>
      <c r="B12" s="1233"/>
      <c r="C12" s="442"/>
      <c r="D12" s="442"/>
      <c r="E12" s="442">
        <v>-24</v>
      </c>
      <c r="F12" s="442">
        <v>-20</v>
      </c>
      <c r="G12" s="442">
        <v>-1</v>
      </c>
      <c r="H12" s="442">
        <v>-3</v>
      </c>
      <c r="I12" s="442">
        <v>-47</v>
      </c>
      <c r="J12" s="442">
        <v>-1</v>
      </c>
      <c r="K12" s="442">
        <v>-48</v>
      </c>
    </row>
    <row r="13" spans="1:17" ht="12" customHeight="1">
      <c r="A13" s="1224" t="s">
        <v>487</v>
      </c>
      <c r="B13" s="1224"/>
      <c r="C13" s="433"/>
      <c r="D13" s="433"/>
      <c r="E13" s="433"/>
      <c r="F13" s="433"/>
      <c r="G13" s="433"/>
      <c r="H13" s="433">
        <v>386</v>
      </c>
      <c r="I13" s="433">
        <v>386</v>
      </c>
      <c r="J13" s="433">
        <v>1</v>
      </c>
      <c r="K13" s="433">
        <v>386</v>
      </c>
    </row>
    <row r="14" spans="1:17" ht="21.75" customHeight="1">
      <c r="A14" s="1233" t="s">
        <v>916</v>
      </c>
      <c r="B14" s="1223" t="s">
        <v>210</v>
      </c>
      <c r="C14" s="442"/>
      <c r="D14" s="442"/>
      <c r="E14" s="442">
        <v>-24</v>
      </c>
      <c r="F14" s="442">
        <v>-20</v>
      </c>
      <c r="G14" s="442">
        <v>-1</v>
      </c>
      <c r="H14" s="442">
        <v>383</v>
      </c>
      <c r="I14" s="442">
        <v>338</v>
      </c>
      <c r="J14" s="442"/>
      <c r="K14" s="442">
        <v>338</v>
      </c>
    </row>
    <row r="15" spans="1:17" ht="21.75" customHeight="1">
      <c r="A15" s="1223" t="s">
        <v>955</v>
      </c>
      <c r="B15" s="1223" t="s">
        <v>956</v>
      </c>
      <c r="C15" s="442"/>
      <c r="D15" s="442"/>
      <c r="E15" s="442"/>
      <c r="F15" s="442"/>
      <c r="G15" s="442"/>
      <c r="H15" s="442"/>
      <c r="I15" s="442"/>
      <c r="J15" s="442"/>
      <c r="K15" s="442"/>
    </row>
    <row r="16" spans="1:17" ht="11.25" customHeight="1">
      <c r="A16" s="1254" t="s">
        <v>996</v>
      </c>
      <c r="B16" s="1254"/>
      <c r="C16" s="442"/>
      <c r="D16" s="442"/>
      <c r="E16" s="442"/>
      <c r="F16" s="442"/>
      <c r="G16" s="442"/>
      <c r="H16" s="442">
        <v>-272</v>
      </c>
      <c r="I16" s="442">
        <v>-272</v>
      </c>
      <c r="J16" s="442">
        <v>-3</v>
      </c>
      <c r="K16" s="442">
        <v>-275</v>
      </c>
    </row>
    <row r="17" spans="1:17" ht="22.5" customHeight="1">
      <c r="A17" s="1259" t="s">
        <v>1342</v>
      </c>
      <c r="B17" s="1259"/>
      <c r="C17" s="433"/>
      <c r="D17" s="433"/>
      <c r="E17" s="433"/>
      <c r="F17" s="433"/>
      <c r="G17" s="433"/>
      <c r="H17" s="433"/>
      <c r="I17" s="433"/>
      <c r="J17" s="433">
        <v>-7</v>
      </c>
      <c r="K17" s="433">
        <v>-7</v>
      </c>
      <c r="L17" s="838"/>
      <c r="M17" s="838"/>
      <c r="N17" s="838"/>
      <c r="O17" s="838"/>
      <c r="P17" s="838"/>
      <c r="Q17" s="838"/>
    </row>
    <row r="18" spans="1:17" ht="12" customHeight="1">
      <c r="A18" s="1266" t="s">
        <v>1264</v>
      </c>
      <c r="B18" s="1266"/>
      <c r="C18" s="452">
        <v>336</v>
      </c>
      <c r="D18" s="452">
        <v>61</v>
      </c>
      <c r="E18" s="452">
        <v>-155</v>
      </c>
      <c r="F18" s="452">
        <v>-31</v>
      </c>
      <c r="G18" s="452">
        <v>-39</v>
      </c>
      <c r="H18" s="452">
        <v>2245</v>
      </c>
      <c r="I18" s="452">
        <v>2418</v>
      </c>
      <c r="J18" s="452">
        <v>14</v>
      </c>
      <c r="K18" s="452">
        <v>2432</v>
      </c>
    </row>
    <row r="19" spans="1:17">
      <c r="A19" s="523"/>
      <c r="B19" s="225"/>
      <c r="C19" s="250"/>
      <c r="D19" s="250"/>
      <c r="E19" s="250"/>
      <c r="F19" s="250"/>
      <c r="G19" s="250"/>
      <c r="H19" s="250"/>
      <c r="I19" s="250"/>
      <c r="J19" s="250"/>
      <c r="K19" s="251"/>
    </row>
    <row r="20" spans="1:17" s="1170" customFormat="1">
      <c r="A20" s="523"/>
      <c r="B20" s="225"/>
      <c r="C20" s="250"/>
      <c r="D20" s="250"/>
      <c r="E20" s="250"/>
      <c r="F20" s="250"/>
      <c r="G20" s="250"/>
      <c r="H20" s="250"/>
      <c r="I20" s="250"/>
      <c r="J20" s="250"/>
      <c r="K20" s="251"/>
      <c r="L20" s="1172"/>
      <c r="M20" s="1172"/>
      <c r="N20" s="1172"/>
      <c r="O20" s="1172"/>
      <c r="P20" s="1172"/>
      <c r="Q20" s="1172"/>
    </row>
    <row r="21" spans="1:17" s="244" customFormat="1" ht="34.5" customHeight="1">
      <c r="A21" s="894"/>
      <c r="B21" s="894"/>
      <c r="C21" s="1264" t="s">
        <v>879</v>
      </c>
      <c r="D21" s="1265"/>
      <c r="E21" s="1265"/>
      <c r="F21" s="1265"/>
      <c r="G21" s="1265"/>
      <c r="H21" s="1265"/>
      <c r="I21" s="1265"/>
      <c r="J21" s="901" t="s">
        <v>887</v>
      </c>
      <c r="K21" s="901" t="s">
        <v>143</v>
      </c>
      <c r="L21" s="205"/>
      <c r="M21" s="205"/>
      <c r="N21" s="205"/>
      <c r="O21" s="205"/>
      <c r="P21" s="205"/>
      <c r="Q21" s="205"/>
    </row>
    <row r="22" spans="1:17" ht="52.5" customHeight="1">
      <c r="A22" s="1269" t="s">
        <v>700</v>
      </c>
      <c r="B22" s="1269"/>
      <c r="C22" s="901" t="s">
        <v>140</v>
      </c>
      <c r="D22" s="901" t="s">
        <v>858</v>
      </c>
      <c r="E22" s="901" t="s">
        <v>1222</v>
      </c>
      <c r="F22" s="901" t="s">
        <v>141</v>
      </c>
      <c r="G22" s="901" t="s">
        <v>1102</v>
      </c>
      <c r="H22" s="901" t="s">
        <v>142</v>
      </c>
      <c r="I22" s="901" t="s">
        <v>641</v>
      </c>
      <c r="J22" s="902"/>
      <c r="K22" s="902"/>
    </row>
    <row r="23" spans="1:17" ht="11.25" customHeight="1">
      <c r="A23" s="1233" t="s">
        <v>1404</v>
      </c>
      <c r="B23" s="1233"/>
      <c r="C23" s="540">
        <v>336</v>
      </c>
      <c r="D23" s="540">
        <v>61</v>
      </c>
      <c r="E23" s="540">
        <v>-155</v>
      </c>
      <c r="F23" s="540">
        <v>-31</v>
      </c>
      <c r="G23" s="540">
        <v>-39</v>
      </c>
      <c r="H23" s="540">
        <v>2245</v>
      </c>
      <c r="I23" s="540">
        <v>2418</v>
      </c>
      <c r="J23" s="540">
        <v>14</v>
      </c>
      <c r="K23" s="540">
        <v>2432</v>
      </c>
    </row>
    <row r="24" spans="1:17" ht="11.25" customHeight="1">
      <c r="A24" s="1223" t="s">
        <v>370</v>
      </c>
      <c r="B24" s="1223"/>
      <c r="C24" s="540"/>
      <c r="D24" s="540"/>
      <c r="E24" s="540">
        <v>41</v>
      </c>
      <c r="F24" s="540"/>
      <c r="G24" s="540"/>
      <c r="H24" s="540"/>
      <c r="I24" s="540">
        <v>41</v>
      </c>
      <c r="J24" s="540"/>
      <c r="K24" s="540">
        <v>41</v>
      </c>
    </row>
    <row r="25" spans="1:17" ht="11.25" customHeight="1">
      <c r="A25" s="1223" t="s">
        <v>448</v>
      </c>
      <c r="B25" s="1223"/>
      <c r="C25" s="540"/>
      <c r="D25" s="540"/>
      <c r="E25" s="540"/>
      <c r="F25" s="540"/>
      <c r="G25" s="540"/>
      <c r="H25" s="540"/>
      <c r="I25" s="540"/>
      <c r="J25" s="540"/>
      <c r="K25" s="540"/>
    </row>
    <row r="26" spans="1:17" ht="11.25" customHeight="1">
      <c r="A26" s="1254" t="s">
        <v>860</v>
      </c>
      <c r="B26" s="1254"/>
      <c r="C26" s="540"/>
      <c r="D26" s="540"/>
      <c r="E26" s="540"/>
      <c r="F26" s="540">
        <v>4</v>
      </c>
      <c r="G26" s="540"/>
      <c r="H26" s="540"/>
      <c r="I26" s="540">
        <v>4</v>
      </c>
      <c r="J26" s="540"/>
      <c r="K26" s="540">
        <v>4</v>
      </c>
    </row>
    <row r="27" spans="1:17" ht="22.5" customHeight="1">
      <c r="A27" s="1254" t="s">
        <v>886</v>
      </c>
      <c r="B27" s="1254"/>
      <c r="C27" s="540"/>
      <c r="D27" s="540"/>
      <c r="E27" s="540"/>
      <c r="F27" s="540">
        <v>16</v>
      </c>
      <c r="G27" s="540"/>
      <c r="H27" s="540"/>
      <c r="I27" s="540">
        <v>16</v>
      </c>
      <c r="J27" s="540"/>
      <c r="K27" s="540">
        <v>16</v>
      </c>
    </row>
    <row r="28" spans="1:17" ht="11.25" customHeight="1">
      <c r="A28" s="1224" t="s">
        <v>692</v>
      </c>
      <c r="B28" s="1224" t="s">
        <v>692</v>
      </c>
      <c r="C28" s="536"/>
      <c r="D28" s="536"/>
      <c r="E28" s="536"/>
      <c r="F28" s="536"/>
      <c r="G28" s="536">
        <v>-16</v>
      </c>
      <c r="H28" s="536"/>
      <c r="I28" s="536">
        <v>-16</v>
      </c>
      <c r="J28" s="536"/>
      <c r="K28" s="536">
        <v>-16</v>
      </c>
    </row>
    <row r="29" spans="1:17" ht="11.25" customHeight="1">
      <c r="A29" s="1233" t="s">
        <v>170</v>
      </c>
      <c r="B29" s="1233" t="s">
        <v>997</v>
      </c>
      <c r="C29" s="540"/>
      <c r="D29" s="540"/>
      <c r="E29" s="540">
        <v>41</v>
      </c>
      <c r="F29" s="540">
        <v>20</v>
      </c>
      <c r="G29" s="540">
        <v>-16</v>
      </c>
      <c r="H29" s="540"/>
      <c r="I29" s="540">
        <v>45</v>
      </c>
      <c r="J29" s="540"/>
      <c r="K29" s="540">
        <v>45</v>
      </c>
    </row>
    <row r="30" spans="1:17" ht="11.25" customHeight="1">
      <c r="A30" s="1224" t="s">
        <v>487</v>
      </c>
      <c r="B30" s="1224"/>
      <c r="C30" s="536"/>
      <c r="D30" s="536"/>
      <c r="E30" s="536"/>
      <c r="F30" s="536"/>
      <c r="G30" s="536"/>
      <c r="H30" s="536">
        <v>217</v>
      </c>
      <c r="I30" s="536">
        <v>217</v>
      </c>
      <c r="J30" s="536">
        <v>1</v>
      </c>
      <c r="K30" s="536">
        <v>218</v>
      </c>
    </row>
    <row r="31" spans="1:17" ht="21.75" customHeight="1">
      <c r="A31" s="1233" t="s">
        <v>916</v>
      </c>
      <c r="B31" s="1233" t="s">
        <v>210</v>
      </c>
      <c r="C31" s="540"/>
      <c r="D31" s="540"/>
      <c r="E31" s="540">
        <v>41</v>
      </c>
      <c r="F31" s="540">
        <v>20</v>
      </c>
      <c r="G31" s="540">
        <v>-16</v>
      </c>
      <c r="H31" s="540">
        <v>217</v>
      </c>
      <c r="I31" s="540">
        <v>262</v>
      </c>
      <c r="J31" s="540">
        <v>1</v>
      </c>
      <c r="K31" s="540">
        <v>263</v>
      </c>
    </row>
    <row r="32" spans="1:17" ht="21.75" customHeight="1">
      <c r="A32" s="1223" t="s">
        <v>955</v>
      </c>
      <c r="B32" s="1223" t="s">
        <v>956</v>
      </c>
      <c r="C32" s="540"/>
      <c r="D32" s="540"/>
      <c r="E32" s="540"/>
      <c r="F32" s="540"/>
      <c r="G32" s="540"/>
      <c r="H32" s="540"/>
      <c r="I32" s="540"/>
      <c r="J32" s="540"/>
      <c r="K32" s="540"/>
    </row>
    <row r="33" spans="1:11" ht="11.25" customHeight="1">
      <c r="A33" s="1259" t="s">
        <v>996</v>
      </c>
      <c r="B33" s="1259"/>
      <c r="C33" s="536"/>
      <c r="D33" s="536"/>
      <c r="E33" s="536"/>
      <c r="F33" s="536"/>
      <c r="G33" s="536"/>
      <c r="H33" s="536">
        <v>-284</v>
      </c>
      <c r="I33" s="536">
        <v>-284</v>
      </c>
      <c r="J33" s="536">
        <v>-1</v>
      </c>
      <c r="K33" s="536">
        <v>-285</v>
      </c>
    </row>
    <row r="34" spans="1:11" ht="11.25" customHeight="1">
      <c r="A34" s="1266" t="s">
        <v>1405</v>
      </c>
      <c r="B34" s="1266"/>
      <c r="C34" s="537">
        <v>336</v>
      </c>
      <c r="D34" s="537">
        <v>61</v>
      </c>
      <c r="E34" s="537">
        <v>-114</v>
      </c>
      <c r="F34" s="537">
        <v>-11</v>
      </c>
      <c r="G34" s="537">
        <v>-55</v>
      </c>
      <c r="H34" s="537">
        <v>2178</v>
      </c>
      <c r="I34" s="537">
        <v>2396</v>
      </c>
      <c r="J34" s="537">
        <v>14</v>
      </c>
      <c r="K34" s="537">
        <v>2410</v>
      </c>
    </row>
    <row r="35" spans="1:11">
      <c r="A35" s="252"/>
      <c r="B35" s="252"/>
      <c r="C35" s="253"/>
      <c r="D35" s="253"/>
      <c r="E35" s="253"/>
      <c r="F35" s="253"/>
      <c r="G35" s="253"/>
      <c r="H35" s="253"/>
      <c r="I35" s="253"/>
      <c r="J35" s="253"/>
      <c r="K35" s="253"/>
    </row>
    <row r="36" spans="1:11" ht="11.25" customHeight="1">
      <c r="A36" s="1263" t="s">
        <v>1557</v>
      </c>
      <c r="B36" s="1263"/>
      <c r="C36" s="1263"/>
      <c r="D36" s="1263"/>
      <c r="E36" s="1263"/>
      <c r="F36" s="1263"/>
      <c r="G36" s="1263"/>
      <c r="H36" s="1263"/>
      <c r="I36" s="1263"/>
      <c r="J36" s="1263"/>
      <c r="K36" s="1263"/>
    </row>
    <row r="37" spans="1:11">
      <c r="F37" s="254"/>
      <c r="G37" s="254"/>
    </row>
    <row r="38" spans="1:11">
      <c r="F38" s="254"/>
      <c r="G38" s="254"/>
    </row>
    <row r="39" spans="1:11">
      <c r="A39" s="1246"/>
      <c r="B39" s="1246"/>
      <c r="C39" s="1246"/>
      <c r="D39" s="1246"/>
      <c r="E39" s="1246"/>
      <c r="F39" s="1246"/>
      <c r="G39" s="1246"/>
      <c r="H39" s="1246"/>
      <c r="I39" s="1246"/>
      <c r="J39" s="1246"/>
      <c r="K39" s="1246"/>
    </row>
    <row r="40" spans="1:11">
      <c r="F40" s="254"/>
      <c r="G40" s="254"/>
    </row>
  </sheetData>
  <mergeCells count="33">
    <mergeCell ref="A10:B10"/>
    <mergeCell ref="A23:B23"/>
    <mergeCell ref="A17:B17"/>
    <mergeCell ref="A8:B8"/>
    <mergeCell ref="A9:B9"/>
    <mergeCell ref="A39:K39"/>
    <mergeCell ref="A1:K1"/>
    <mergeCell ref="C3:I3"/>
    <mergeCell ref="A6:B6"/>
    <mergeCell ref="A22:B22"/>
    <mergeCell ref="A7:B7"/>
    <mergeCell ref="A13:B13"/>
    <mergeCell ref="A4:B4"/>
    <mergeCell ref="A15:B15"/>
    <mergeCell ref="A12:B12"/>
    <mergeCell ref="A14:B14"/>
    <mergeCell ref="A5:B5"/>
    <mergeCell ref="A11:B11"/>
    <mergeCell ref="A16:B16"/>
    <mergeCell ref="A24:B24"/>
    <mergeCell ref="A18:B18"/>
    <mergeCell ref="A36:K36"/>
    <mergeCell ref="C21:I21"/>
    <mergeCell ref="A28:B28"/>
    <mergeCell ref="A34:B34"/>
    <mergeCell ref="A31:B31"/>
    <mergeCell ref="A25:B25"/>
    <mergeCell ref="A29:B29"/>
    <mergeCell ref="A30:B30"/>
    <mergeCell ref="A32:B32"/>
    <mergeCell ref="A26:B26"/>
    <mergeCell ref="A27:B27"/>
    <mergeCell ref="A33:B33"/>
  </mergeCells>
  <phoneticPr fontId="12" type="noConversion"/>
  <pageMargins left="0.75" right="0.75" top="1" bottom="1" header="0.5" footer="0.5"/>
  <pageSetup scale="75" orientation="portrait" horizontalDpi="300" r:id="rId1"/>
  <headerFooter alignWithMargins="0"/>
  <customProperties>
    <customPr name="SheetOptions" r:id="rId2"/>
  </customPropertie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dimension ref="A1:Q127"/>
  <sheetViews>
    <sheetView zoomScaleNormal="100" zoomScalePageLayoutView="90" workbookViewId="0">
      <selection sqref="A1:F1"/>
    </sheetView>
  </sheetViews>
  <sheetFormatPr defaultColWidth="8.6640625" defaultRowHeight="11.25"/>
  <cols>
    <col min="1" max="1" width="21.6640625" style="205" customWidth="1"/>
    <col min="2" max="2" width="21.6640625" style="1122" customWidth="1"/>
    <col min="3" max="6" width="21.6640625" style="205" customWidth="1"/>
    <col min="7" max="9" width="3.6640625" style="205" customWidth="1"/>
    <col min="10" max="17" width="3.6640625" style="1063" customWidth="1"/>
    <col min="18" max="16384" width="8.6640625" style="1151"/>
  </cols>
  <sheetData>
    <row r="1" spans="1:17" ht="15.75" customHeight="1">
      <c r="A1" s="1276" t="s">
        <v>696</v>
      </c>
      <c r="B1" s="1276"/>
      <c r="C1" s="1276"/>
      <c r="D1" s="1276"/>
      <c r="E1" s="1276"/>
      <c r="F1" s="1276"/>
    </row>
    <row r="2" spans="1:17" ht="11.1" customHeight="1">
      <c r="A2" s="867"/>
      <c r="B2" s="1117"/>
      <c r="C2" s="867"/>
      <c r="D2" s="867"/>
      <c r="E2" s="867"/>
      <c r="F2" s="867"/>
      <c r="G2" s="868"/>
      <c r="H2" s="868"/>
      <c r="I2" s="868"/>
    </row>
    <row r="3" spans="1:17" ht="205.5" customHeight="1">
      <c r="A3" s="1271" t="s">
        <v>1694</v>
      </c>
      <c r="B3" s="1271"/>
      <c r="C3" s="1247"/>
      <c r="D3" s="1247"/>
      <c r="E3" s="1247"/>
      <c r="F3" s="1247"/>
      <c r="G3" s="868"/>
      <c r="H3" s="868"/>
      <c r="I3" s="868"/>
    </row>
    <row r="4" spans="1:17" ht="11.25" customHeight="1">
      <c r="A4" s="1125"/>
      <c r="B4" s="1125"/>
      <c r="C4" s="1124"/>
      <c r="D4" s="1124"/>
      <c r="E4" s="1124"/>
      <c r="F4" s="1124"/>
      <c r="G4" s="1126"/>
      <c r="H4" s="1126"/>
      <c r="I4" s="1126"/>
      <c r="J4" s="1126"/>
      <c r="K4" s="1126"/>
      <c r="L4" s="1126"/>
      <c r="M4" s="1126"/>
      <c r="N4" s="1126"/>
      <c r="O4" s="1126"/>
      <c r="P4" s="1126"/>
      <c r="Q4" s="1126"/>
    </row>
    <row r="5" spans="1:17" ht="11.1" customHeight="1">
      <c r="A5" s="1282" t="s">
        <v>1436</v>
      </c>
      <c r="B5" s="1282"/>
      <c r="C5" s="1282"/>
      <c r="D5" s="1282"/>
      <c r="E5" s="1282"/>
      <c r="F5" s="1282"/>
      <c r="G5" s="869"/>
      <c r="H5" s="868"/>
      <c r="I5" s="868"/>
    </row>
    <row r="6" spans="1:17" ht="11.1" customHeight="1">
      <c r="A6" s="1279"/>
      <c r="B6" s="1279"/>
      <c r="C6" s="1279"/>
      <c r="D6" s="1279"/>
      <c r="E6" s="1279"/>
      <c r="F6" s="1279"/>
      <c r="G6" s="868"/>
      <c r="H6" s="868"/>
      <c r="I6" s="868"/>
    </row>
    <row r="7" spans="1:17" ht="91.5" customHeight="1">
      <c r="A7" s="1271" t="s">
        <v>1582</v>
      </c>
      <c r="B7" s="1271"/>
      <c r="C7" s="1247"/>
      <c r="D7" s="1247"/>
      <c r="E7" s="1247"/>
      <c r="F7" s="1247"/>
      <c r="G7" s="868"/>
      <c r="H7" s="868"/>
      <c r="I7" s="868"/>
    </row>
    <row r="8" spans="1:17" ht="11.25" customHeight="1">
      <c r="A8" s="1125"/>
      <c r="B8" s="1125"/>
      <c r="C8" s="1124"/>
      <c r="D8" s="1124"/>
      <c r="E8" s="1124"/>
      <c r="F8" s="1124"/>
      <c r="G8" s="1126"/>
      <c r="H8" s="1126"/>
      <c r="I8" s="1126"/>
      <c r="J8" s="1126"/>
      <c r="K8" s="1126"/>
      <c r="L8" s="1126"/>
      <c r="M8" s="1126"/>
      <c r="N8" s="1126"/>
      <c r="O8" s="1126"/>
      <c r="P8" s="1126"/>
      <c r="Q8" s="1126"/>
    </row>
    <row r="9" spans="1:17" ht="11.1" customHeight="1">
      <c r="A9" s="1282" t="s">
        <v>1435</v>
      </c>
      <c r="B9" s="1282"/>
      <c r="C9" s="1282"/>
      <c r="D9" s="1282"/>
      <c r="E9" s="1282"/>
      <c r="F9" s="1282"/>
      <c r="G9" s="868"/>
      <c r="H9" s="868"/>
      <c r="I9" s="868"/>
    </row>
    <row r="10" spans="1:17" ht="11.1" customHeight="1">
      <c r="A10" s="1280"/>
      <c r="B10" s="1280"/>
      <c r="C10" s="1280"/>
      <c r="D10" s="1280"/>
      <c r="E10" s="1280"/>
      <c r="F10" s="1280"/>
      <c r="G10" s="868"/>
      <c r="H10" s="868"/>
      <c r="I10" s="868"/>
    </row>
    <row r="11" spans="1:17" ht="80.25" customHeight="1">
      <c r="A11" s="1271" t="s">
        <v>1652</v>
      </c>
      <c r="B11" s="1271"/>
      <c r="C11" s="1247"/>
      <c r="D11" s="1247"/>
      <c r="E11" s="1247"/>
      <c r="F11" s="1247"/>
      <c r="G11" s="868"/>
      <c r="H11" s="868"/>
      <c r="I11" s="868"/>
    </row>
    <row r="12" spans="1:17" ht="11.1" customHeight="1">
      <c r="A12" s="854"/>
      <c r="B12" s="854"/>
      <c r="C12" s="854"/>
      <c r="D12" s="854"/>
      <c r="E12" s="854"/>
      <c r="F12" s="854"/>
      <c r="G12" s="868"/>
      <c r="H12" s="868"/>
      <c r="I12" s="868"/>
    </row>
    <row r="13" spans="1:17" ht="11.1" customHeight="1">
      <c r="A13" s="1270" t="s">
        <v>1636</v>
      </c>
      <c r="B13" s="1270"/>
      <c r="C13" s="1270" t="s">
        <v>1637</v>
      </c>
      <c r="D13" s="1270"/>
      <c r="E13" s="1270" t="s">
        <v>1638</v>
      </c>
      <c r="F13" s="1270"/>
      <c r="G13" s="868"/>
      <c r="H13" s="868"/>
      <c r="I13" s="868"/>
    </row>
    <row r="14" spans="1:17" ht="11.1" customHeight="1">
      <c r="A14" s="1270" t="s">
        <v>1653</v>
      </c>
      <c r="B14" s="1270"/>
      <c r="C14" s="1270" t="s">
        <v>1456</v>
      </c>
      <c r="D14" s="1270"/>
      <c r="E14" s="1270" t="s">
        <v>1457</v>
      </c>
      <c r="F14" s="1270"/>
      <c r="G14" s="868"/>
      <c r="H14" s="868"/>
      <c r="I14" s="868"/>
    </row>
    <row r="15" spans="1:17" ht="11.1" customHeight="1">
      <c r="A15" s="1270" t="s">
        <v>1458</v>
      </c>
      <c r="B15" s="1270"/>
      <c r="C15" s="1270" t="s">
        <v>1466</v>
      </c>
      <c r="D15" s="1270"/>
      <c r="E15" s="1270" t="s">
        <v>1459</v>
      </c>
      <c r="F15" s="1270"/>
      <c r="G15" s="868"/>
      <c r="H15" s="868"/>
      <c r="I15" s="868"/>
    </row>
    <row r="16" spans="1:17" ht="11.1" customHeight="1">
      <c r="A16" s="1270" t="s">
        <v>1460</v>
      </c>
      <c r="B16" s="1270"/>
      <c r="C16" s="1270" t="s">
        <v>1679</v>
      </c>
      <c r="D16" s="1270"/>
      <c r="E16" s="1270" t="s">
        <v>1461</v>
      </c>
      <c r="F16" s="1270"/>
      <c r="G16" s="868"/>
      <c r="H16" s="868"/>
      <c r="I16" s="868"/>
    </row>
    <row r="17" spans="1:17" ht="11.1" customHeight="1">
      <c r="A17" s="1270" t="s">
        <v>1462</v>
      </c>
      <c r="B17" s="1270"/>
      <c r="C17" s="1270"/>
      <c r="D17" s="1270"/>
      <c r="E17" s="1270" t="s">
        <v>1463</v>
      </c>
      <c r="F17" s="1270"/>
      <c r="G17" s="868"/>
      <c r="H17" s="868"/>
      <c r="I17" s="868"/>
    </row>
    <row r="18" spans="1:17" ht="11.1" customHeight="1">
      <c r="A18" s="1270"/>
      <c r="B18" s="1270"/>
      <c r="C18" s="1270"/>
      <c r="D18" s="1270"/>
      <c r="E18" s="1270" t="s">
        <v>1464</v>
      </c>
      <c r="F18" s="1270"/>
      <c r="G18" s="868"/>
      <c r="H18" s="868"/>
      <c r="I18" s="868"/>
    </row>
    <row r="19" spans="1:17" s="1165" customFormat="1" ht="11.1" customHeight="1">
      <c r="A19" s="1164"/>
      <c r="B19" s="1164"/>
      <c r="C19" s="1164"/>
      <c r="D19" s="1164"/>
      <c r="E19" s="1270" t="s">
        <v>1639</v>
      </c>
      <c r="F19" s="1270"/>
    </row>
    <row r="20" spans="1:17" ht="11.1" customHeight="1">
      <c r="A20" s="239"/>
      <c r="B20" s="239"/>
      <c r="C20" s="239"/>
      <c r="D20" s="239"/>
      <c r="E20" s="239"/>
      <c r="F20" s="239"/>
      <c r="G20" s="1122"/>
      <c r="H20" s="1122"/>
      <c r="I20" s="1122"/>
      <c r="J20" s="1122"/>
      <c r="K20" s="1122"/>
      <c r="L20" s="1122"/>
      <c r="M20" s="1122"/>
      <c r="N20" s="1122"/>
      <c r="O20" s="1122"/>
      <c r="P20" s="1122"/>
      <c r="Q20" s="1122"/>
    </row>
    <row r="21" spans="1:17" ht="68.25" customHeight="1">
      <c r="A21" s="1271" t="s">
        <v>1614</v>
      </c>
      <c r="B21" s="1271"/>
      <c r="C21" s="1247"/>
      <c r="D21" s="1247"/>
      <c r="E21" s="1247"/>
      <c r="F21" s="1247"/>
      <c r="G21" s="868"/>
      <c r="H21" s="868"/>
      <c r="I21" s="868"/>
    </row>
    <row r="22" spans="1:17" ht="11.1" customHeight="1">
      <c r="A22" s="1112"/>
      <c r="B22" s="1119"/>
      <c r="C22" s="1112"/>
      <c r="D22" s="1112"/>
      <c r="E22" s="1112"/>
      <c r="F22" s="1112"/>
      <c r="G22" s="1113"/>
      <c r="H22" s="1113"/>
      <c r="I22" s="1113"/>
      <c r="J22" s="1113"/>
      <c r="K22" s="1113"/>
      <c r="L22" s="1113"/>
      <c r="M22" s="1113"/>
      <c r="N22" s="1113"/>
      <c r="O22" s="1113"/>
      <c r="P22" s="1113"/>
      <c r="Q22" s="1113"/>
    </row>
    <row r="23" spans="1:17" ht="11.25" customHeight="1">
      <c r="A23" s="1062" t="s">
        <v>700</v>
      </c>
      <c r="B23" s="1118"/>
      <c r="C23" s="1062"/>
      <c r="D23" s="1024"/>
      <c r="E23" s="1026">
        <v>2019</v>
      </c>
      <c r="F23" s="1178">
        <v>2018</v>
      </c>
      <c r="G23" s="853"/>
      <c r="H23" s="853"/>
      <c r="I23" s="853"/>
    </row>
    <row r="24" spans="1:17" ht="11.25" customHeight="1">
      <c r="A24" s="1277"/>
      <c r="B24" s="1277"/>
      <c r="C24" s="1277"/>
      <c r="D24" s="1277"/>
      <c r="E24" s="963"/>
      <c r="F24" s="1008"/>
      <c r="G24" s="853"/>
      <c r="H24" s="853"/>
      <c r="I24" s="853"/>
    </row>
    <row r="25" spans="1:17" ht="11.25" customHeight="1">
      <c r="A25" s="1278" t="s">
        <v>501</v>
      </c>
      <c r="B25" s="1278"/>
      <c r="C25" s="1278"/>
      <c r="D25" s="1278"/>
      <c r="E25" s="963"/>
      <c r="F25" s="1008"/>
      <c r="G25" s="853"/>
      <c r="H25" s="853"/>
      <c r="I25" s="853"/>
    </row>
    <row r="26" spans="1:17" ht="11.25" customHeight="1">
      <c r="A26" s="1275" t="s">
        <v>1435</v>
      </c>
      <c r="B26" s="1275"/>
      <c r="C26" s="1275"/>
      <c r="D26" s="1275"/>
      <c r="E26" s="963">
        <v>3330</v>
      </c>
      <c r="F26" s="1008">
        <v>2815</v>
      </c>
      <c r="G26" s="853"/>
      <c r="H26" s="853"/>
      <c r="I26" s="853"/>
    </row>
    <row r="27" spans="1:17" ht="11.25" customHeight="1">
      <c r="A27" s="1273" t="s">
        <v>1436</v>
      </c>
      <c r="B27" s="1273"/>
      <c r="C27" s="1273"/>
      <c r="D27" s="1273"/>
      <c r="E27" s="855">
        <v>1840</v>
      </c>
      <c r="F27" s="959">
        <v>2359</v>
      </c>
      <c r="G27" s="853"/>
      <c r="H27" s="853"/>
      <c r="I27" s="853"/>
    </row>
    <row r="28" spans="1:17" ht="11.25" customHeight="1">
      <c r="A28" s="1238" t="s">
        <v>641</v>
      </c>
      <c r="B28" s="1238"/>
      <c r="C28" s="1238"/>
      <c r="D28" s="1238"/>
      <c r="E28" s="963">
        <v>5170</v>
      </c>
      <c r="F28" s="1008">
        <v>5174</v>
      </c>
      <c r="G28" s="853"/>
      <c r="H28" s="853"/>
      <c r="I28" s="853"/>
    </row>
    <row r="29" spans="1:17" ht="11.25" customHeight="1">
      <c r="A29" s="1272"/>
      <c r="B29" s="1272"/>
      <c r="C29" s="1272"/>
      <c r="D29" s="1272"/>
      <c r="E29" s="963"/>
      <c r="F29" s="1008"/>
      <c r="G29" s="853"/>
      <c r="H29" s="853"/>
      <c r="I29" s="853"/>
    </row>
    <row r="30" spans="1:17" ht="11.25" customHeight="1">
      <c r="A30" s="1274" t="s">
        <v>412</v>
      </c>
      <c r="B30" s="1274"/>
      <c r="C30" s="1274"/>
      <c r="D30" s="1274"/>
      <c r="E30" s="963"/>
      <c r="F30" s="1008"/>
      <c r="G30" s="853"/>
      <c r="H30" s="853"/>
      <c r="I30" s="853"/>
    </row>
    <row r="31" spans="1:17" ht="11.25" customHeight="1">
      <c r="A31" s="1275" t="s">
        <v>1435</v>
      </c>
      <c r="B31" s="1275"/>
      <c r="C31" s="1275"/>
      <c r="D31" s="1275"/>
      <c r="E31" s="963">
        <v>-147</v>
      </c>
      <c r="F31" s="1008">
        <v>-102</v>
      </c>
      <c r="G31" s="853"/>
      <c r="H31" s="853"/>
      <c r="I31" s="853"/>
    </row>
    <row r="32" spans="1:17" ht="11.25" customHeight="1">
      <c r="A32" s="1273" t="s">
        <v>1436</v>
      </c>
      <c r="B32" s="1273"/>
      <c r="C32" s="1273"/>
      <c r="D32" s="1273"/>
      <c r="E32" s="855">
        <v>-33</v>
      </c>
      <c r="F32" s="959">
        <v>-28</v>
      </c>
      <c r="G32" s="853"/>
      <c r="H32" s="853"/>
      <c r="I32" s="853"/>
    </row>
    <row r="33" spans="1:9" ht="11.25" customHeight="1">
      <c r="A33" s="1238" t="s">
        <v>641</v>
      </c>
      <c r="B33" s="1238"/>
      <c r="C33" s="1238"/>
      <c r="D33" s="1238"/>
      <c r="E33" s="963">
        <v>-180</v>
      </c>
      <c r="F33" s="1008">
        <v>-130</v>
      </c>
      <c r="G33" s="853"/>
      <c r="H33" s="853"/>
      <c r="I33" s="853"/>
    </row>
    <row r="34" spans="1:9" ht="11.25" customHeight="1">
      <c r="A34" s="1272"/>
      <c r="B34" s="1272"/>
      <c r="C34" s="1272"/>
      <c r="D34" s="1272"/>
      <c r="E34" s="963"/>
      <c r="F34" s="1008"/>
      <c r="G34" s="853"/>
      <c r="H34" s="853"/>
      <c r="I34" s="853"/>
    </row>
    <row r="35" spans="1:9" ht="11.25" customHeight="1">
      <c r="A35" s="1274" t="s">
        <v>30</v>
      </c>
      <c r="B35" s="1274"/>
      <c r="C35" s="1274"/>
      <c r="D35" s="1274"/>
      <c r="E35" s="963"/>
      <c r="F35" s="1008"/>
      <c r="G35" s="853"/>
      <c r="H35" s="853"/>
      <c r="I35" s="853"/>
    </row>
    <row r="36" spans="1:9" ht="11.25" customHeight="1">
      <c r="A36" s="1273" t="s">
        <v>1435</v>
      </c>
      <c r="B36" s="1273"/>
      <c r="C36" s="1273"/>
      <c r="D36" s="1273"/>
      <c r="E36" s="855">
        <v>-9</v>
      </c>
      <c r="F36" s="959">
        <v>13</v>
      </c>
      <c r="G36" s="853"/>
      <c r="H36" s="853"/>
      <c r="I36" s="853"/>
    </row>
    <row r="37" spans="1:9" ht="11.25" customHeight="1">
      <c r="A37" s="1238" t="s">
        <v>641</v>
      </c>
      <c r="B37" s="1238"/>
      <c r="C37" s="1238"/>
      <c r="D37" s="1238"/>
      <c r="E37" s="963">
        <v>-9</v>
      </c>
      <c r="F37" s="1008">
        <v>13</v>
      </c>
      <c r="G37" s="853"/>
      <c r="H37" s="853"/>
      <c r="I37" s="853"/>
    </row>
    <row r="38" spans="1:9" ht="11.25" customHeight="1">
      <c r="A38" s="1272"/>
      <c r="B38" s="1272"/>
      <c r="C38" s="1272"/>
      <c r="D38" s="1272"/>
      <c r="E38" s="963"/>
      <c r="F38" s="1008"/>
      <c r="G38" s="853"/>
      <c r="H38" s="853"/>
      <c r="I38" s="853"/>
    </row>
    <row r="39" spans="1:9" ht="11.25" customHeight="1">
      <c r="A39" s="1274" t="s">
        <v>191</v>
      </c>
      <c r="B39" s="1274"/>
      <c r="C39" s="1274"/>
      <c r="D39" s="1274"/>
      <c r="E39" s="963"/>
      <c r="F39" s="1008"/>
      <c r="G39" s="853"/>
      <c r="H39" s="853"/>
      <c r="I39" s="853"/>
    </row>
    <row r="40" spans="1:9" ht="11.25" customHeight="1">
      <c r="A40" s="1275" t="s">
        <v>1435</v>
      </c>
      <c r="B40" s="1275"/>
      <c r="C40" s="1275"/>
      <c r="D40" s="1275"/>
      <c r="E40" s="963">
        <v>237</v>
      </c>
      <c r="F40" s="1008">
        <v>349</v>
      </c>
      <c r="G40" s="853"/>
      <c r="H40" s="853"/>
      <c r="I40" s="853"/>
    </row>
    <row r="41" spans="1:9" ht="11.25" customHeight="1">
      <c r="A41" s="1273" t="s">
        <v>1436</v>
      </c>
      <c r="B41" s="1273"/>
      <c r="C41" s="1273"/>
      <c r="D41" s="1273"/>
      <c r="E41" s="855">
        <v>125</v>
      </c>
      <c r="F41" s="959">
        <v>194</v>
      </c>
      <c r="G41" s="853"/>
      <c r="H41" s="853"/>
      <c r="I41" s="853"/>
    </row>
    <row r="42" spans="1:9" ht="11.25" customHeight="1">
      <c r="A42" s="1238" t="s">
        <v>641</v>
      </c>
      <c r="B42" s="1238"/>
      <c r="C42" s="1238"/>
      <c r="D42" s="1238"/>
      <c r="E42" s="963">
        <v>362</v>
      </c>
      <c r="F42" s="1008">
        <v>543</v>
      </c>
      <c r="G42" s="853"/>
      <c r="H42" s="853"/>
      <c r="I42" s="853"/>
    </row>
    <row r="43" spans="1:9" ht="11.25" customHeight="1">
      <c r="A43" s="1272"/>
      <c r="B43" s="1272"/>
      <c r="C43" s="1272"/>
      <c r="D43" s="1272"/>
      <c r="E43" s="963"/>
      <c r="F43" s="1008"/>
      <c r="G43" s="853"/>
      <c r="H43" s="853"/>
      <c r="I43" s="853"/>
    </row>
    <row r="44" spans="1:9" ht="11.25" customHeight="1">
      <c r="A44" s="1274" t="s">
        <v>1437</v>
      </c>
      <c r="B44" s="1274"/>
      <c r="C44" s="1274"/>
      <c r="D44" s="1274"/>
      <c r="E44" s="963"/>
      <c r="F44" s="1008"/>
      <c r="G44" s="853"/>
      <c r="H44" s="853"/>
      <c r="I44" s="853"/>
    </row>
    <row r="45" spans="1:9" ht="11.1" customHeight="1">
      <c r="A45" s="1275" t="s">
        <v>1435</v>
      </c>
      <c r="B45" s="1275"/>
      <c r="C45" s="1275"/>
      <c r="D45" s="1275"/>
      <c r="E45" s="1014">
        <v>7.1</v>
      </c>
      <c r="F45" s="1015">
        <v>12.4</v>
      </c>
      <c r="G45" s="853"/>
      <c r="H45" s="853"/>
      <c r="I45" s="853"/>
    </row>
    <row r="46" spans="1:9" ht="11.25" customHeight="1">
      <c r="A46" s="1273" t="s">
        <v>1436</v>
      </c>
      <c r="B46" s="1273"/>
      <c r="C46" s="1273"/>
      <c r="D46" s="1273"/>
      <c r="E46" s="856">
        <v>6.8</v>
      </c>
      <c r="F46" s="1016">
        <v>8.1999999999999993</v>
      </c>
      <c r="G46" s="853"/>
      <c r="H46" s="853"/>
      <c r="I46" s="853"/>
    </row>
    <row r="47" spans="1:9" ht="11.25" customHeight="1">
      <c r="A47" s="1238" t="s">
        <v>641</v>
      </c>
      <c r="B47" s="1238"/>
      <c r="C47" s="1238"/>
      <c r="D47" s="1238"/>
      <c r="E47" s="1014">
        <v>7</v>
      </c>
      <c r="F47" s="1015">
        <v>10.5</v>
      </c>
      <c r="G47" s="853"/>
      <c r="H47" s="853"/>
      <c r="I47" s="853"/>
    </row>
    <row r="48" spans="1:9" ht="11.25" customHeight="1">
      <c r="A48" s="1272"/>
      <c r="B48" s="1272"/>
      <c r="C48" s="1272"/>
      <c r="D48" s="1272"/>
      <c r="E48" s="963"/>
      <c r="F48" s="1008"/>
      <c r="G48" s="853"/>
      <c r="H48" s="853"/>
      <c r="I48" s="853"/>
    </row>
    <row r="49" spans="1:17" ht="11.25" customHeight="1">
      <c r="A49" s="1274" t="s">
        <v>1125</v>
      </c>
      <c r="B49" s="1274"/>
      <c r="C49" s="1274"/>
      <c r="D49" s="1274"/>
      <c r="E49" s="963"/>
      <c r="F49" s="1008"/>
      <c r="G49" s="853"/>
      <c r="H49" s="853"/>
      <c r="I49" s="853"/>
    </row>
    <row r="50" spans="1:17" ht="11.25" customHeight="1">
      <c r="A50" s="1275" t="s">
        <v>1435</v>
      </c>
      <c r="B50" s="1275"/>
      <c r="C50" s="1275"/>
      <c r="D50" s="1275"/>
      <c r="E50" s="963">
        <v>305</v>
      </c>
      <c r="F50" s="1008">
        <v>380</v>
      </c>
      <c r="G50" s="853"/>
      <c r="H50" s="853"/>
      <c r="I50" s="853"/>
    </row>
    <row r="51" spans="1:17" ht="11.25" customHeight="1">
      <c r="A51" s="1273" t="s">
        <v>1436</v>
      </c>
      <c r="B51" s="1273"/>
      <c r="C51" s="1273"/>
      <c r="D51" s="1273"/>
      <c r="E51" s="855">
        <v>152</v>
      </c>
      <c r="F51" s="959">
        <v>197</v>
      </c>
      <c r="G51" s="853"/>
      <c r="H51" s="853"/>
      <c r="I51" s="853"/>
    </row>
    <row r="52" spans="1:17" ht="11.25" customHeight="1">
      <c r="A52" s="1238" t="s">
        <v>641</v>
      </c>
      <c r="B52" s="1238"/>
      <c r="C52" s="1238"/>
      <c r="D52" s="1238"/>
      <c r="E52" s="963">
        <v>457</v>
      </c>
      <c r="F52" s="1008">
        <v>577</v>
      </c>
      <c r="G52" s="853"/>
      <c r="H52" s="853"/>
      <c r="I52" s="853"/>
    </row>
    <row r="53" spans="1:17" ht="11.25" customHeight="1">
      <c r="A53" s="1287"/>
      <c r="B53" s="1287"/>
      <c r="C53" s="1287"/>
      <c r="D53" s="1287"/>
      <c r="E53" s="963"/>
      <c r="F53" s="1008"/>
      <c r="G53" s="853"/>
      <c r="H53" s="853"/>
      <c r="I53" s="853"/>
    </row>
    <row r="54" spans="1:17" ht="11.25" customHeight="1">
      <c r="A54" s="1274" t="s">
        <v>1438</v>
      </c>
      <c r="B54" s="1274"/>
      <c r="C54" s="1274"/>
      <c r="D54" s="1274"/>
      <c r="E54" s="963"/>
      <c r="F54" s="1008"/>
      <c r="G54" s="853"/>
      <c r="H54" s="853"/>
      <c r="I54" s="853"/>
    </row>
    <row r="55" spans="1:17" ht="11.25" customHeight="1">
      <c r="A55" s="1275" t="s">
        <v>1435</v>
      </c>
      <c r="B55" s="1275"/>
      <c r="C55" s="1275"/>
      <c r="D55" s="1275"/>
      <c r="E55" s="1014">
        <v>9.1</v>
      </c>
      <c r="F55" s="1015">
        <v>13.5</v>
      </c>
      <c r="G55" s="853"/>
      <c r="H55" s="853"/>
      <c r="I55" s="853"/>
    </row>
    <row r="56" spans="1:17" ht="11.1" customHeight="1">
      <c r="A56" s="1273" t="s">
        <v>1436</v>
      </c>
      <c r="B56" s="1273"/>
      <c r="C56" s="1273"/>
      <c r="D56" s="1273"/>
      <c r="E56" s="856">
        <v>8.3000000000000007</v>
      </c>
      <c r="F56" s="1016">
        <v>8.4</v>
      </c>
      <c r="G56" s="853"/>
      <c r="H56" s="853"/>
      <c r="I56" s="853"/>
    </row>
    <row r="57" spans="1:17" ht="11.1" customHeight="1">
      <c r="A57" s="1238" t="s">
        <v>641</v>
      </c>
      <c r="B57" s="1238"/>
      <c r="C57" s="1238"/>
      <c r="D57" s="1238"/>
      <c r="E57" s="1014">
        <v>8.8000000000000007</v>
      </c>
      <c r="F57" s="1015">
        <v>11.2</v>
      </c>
      <c r="G57" s="853"/>
      <c r="H57" s="853"/>
      <c r="I57" s="853"/>
    </row>
    <row r="58" spans="1:17" ht="11.1" customHeight="1">
      <c r="A58" s="962"/>
      <c r="B58" s="962"/>
      <c r="C58" s="962"/>
      <c r="D58" s="962"/>
      <c r="E58" s="269"/>
      <c r="F58" s="271"/>
      <c r="G58" s="853"/>
      <c r="H58" s="853"/>
      <c r="I58" s="853"/>
    </row>
    <row r="59" spans="1:17" ht="11.1" customHeight="1">
      <c r="A59" s="874"/>
      <c r="B59" s="1120"/>
      <c r="C59" s="269"/>
      <c r="D59" s="269"/>
      <c r="E59" s="269"/>
      <c r="F59" s="271"/>
      <c r="G59" s="873"/>
      <c r="H59" s="873"/>
      <c r="I59" s="873"/>
    </row>
    <row r="60" spans="1:17">
      <c r="A60" s="1282" t="s">
        <v>1467</v>
      </c>
      <c r="B60" s="1282"/>
      <c r="C60" s="1282"/>
      <c r="D60" s="1282"/>
      <c r="E60" s="1282"/>
      <c r="F60" s="1282"/>
      <c r="G60" s="873"/>
      <c r="H60" s="873"/>
      <c r="I60" s="873"/>
    </row>
    <row r="61" spans="1:17">
      <c r="A61" s="239"/>
      <c r="B61" s="239"/>
      <c r="C61" s="229"/>
      <c r="D61" s="873"/>
      <c r="E61" s="873"/>
      <c r="F61" s="873"/>
      <c r="G61" s="873"/>
      <c r="H61" s="873"/>
      <c r="I61" s="873"/>
    </row>
    <row r="62" spans="1:17" ht="67.5" customHeight="1">
      <c r="A62" s="1271" t="s">
        <v>1695</v>
      </c>
      <c r="B62" s="1271"/>
      <c r="C62" s="1247"/>
      <c r="D62" s="1247"/>
      <c r="E62" s="1247"/>
      <c r="F62" s="1247"/>
      <c r="G62" s="873"/>
      <c r="H62" s="873"/>
      <c r="I62" s="873"/>
    </row>
    <row r="63" spans="1:17" ht="11.25" customHeight="1">
      <c r="A63" s="1140"/>
      <c r="B63" s="1140"/>
      <c r="C63" s="1139"/>
      <c r="D63" s="1139"/>
      <c r="E63" s="1139"/>
      <c r="F63" s="1139"/>
      <c r="G63" s="1141"/>
      <c r="H63" s="1141"/>
      <c r="I63" s="1141"/>
      <c r="J63" s="1141"/>
      <c r="K63" s="1141"/>
      <c r="L63" s="1141"/>
      <c r="M63" s="1141"/>
      <c r="N63" s="1141"/>
      <c r="O63" s="1141"/>
      <c r="P63" s="1141"/>
      <c r="Q63" s="1141"/>
    </row>
    <row r="64" spans="1:17" ht="78.75" customHeight="1">
      <c r="A64" s="1271" t="s">
        <v>1654</v>
      </c>
      <c r="B64" s="1271"/>
      <c r="C64" s="1247"/>
      <c r="D64" s="1247"/>
      <c r="E64" s="1247"/>
      <c r="F64" s="1247"/>
      <c r="G64" s="873"/>
      <c r="H64" s="873"/>
      <c r="I64" s="873"/>
    </row>
    <row r="65" spans="1:17" ht="11.25" customHeight="1">
      <c r="A65" s="648"/>
      <c r="B65" s="648"/>
      <c r="C65" s="760"/>
      <c r="D65" s="873"/>
      <c r="E65" s="873"/>
      <c r="F65" s="873"/>
      <c r="G65" s="873"/>
      <c r="H65" s="873"/>
      <c r="I65" s="873"/>
    </row>
    <row r="66" spans="1:17" ht="11.25" customHeight="1">
      <c r="A66" s="1282" t="s">
        <v>1538</v>
      </c>
      <c r="B66" s="1282"/>
      <c r="C66" s="1282"/>
      <c r="D66" s="1282"/>
      <c r="E66" s="1282"/>
      <c r="F66" s="1282"/>
      <c r="G66" s="1060"/>
      <c r="H66" s="1060"/>
      <c r="I66" s="1060"/>
    </row>
    <row r="67" spans="1:17" ht="11.25" customHeight="1">
      <c r="A67" s="648"/>
      <c r="B67" s="648"/>
      <c r="C67" s="437"/>
      <c r="D67" s="873"/>
      <c r="E67" s="873"/>
      <c r="F67" s="873"/>
      <c r="G67" s="873"/>
      <c r="H67" s="873"/>
      <c r="I67" s="873"/>
    </row>
    <row r="68" spans="1:17">
      <c r="A68" s="908" t="s">
        <v>700</v>
      </c>
      <c r="B68" s="937"/>
      <c r="C68" s="908"/>
      <c r="D68" s="908"/>
      <c r="E68" s="957">
        <v>2019</v>
      </c>
      <c r="F68" s="958">
        <v>2018</v>
      </c>
      <c r="G68" s="873"/>
      <c r="H68" s="873"/>
      <c r="I68" s="873"/>
    </row>
    <row r="69" spans="1:17">
      <c r="A69" s="1283" t="s">
        <v>1124</v>
      </c>
      <c r="B69" s="1283"/>
      <c r="C69" s="1283"/>
      <c r="D69" s="1283"/>
      <c r="E69" s="541">
        <v>498</v>
      </c>
      <c r="F69" s="415">
        <v>621</v>
      </c>
      <c r="G69" s="873"/>
      <c r="H69" s="873"/>
      <c r="I69" s="873"/>
    </row>
    <row r="70" spans="1:17">
      <c r="A70" s="1281"/>
      <c r="B70" s="1281"/>
      <c r="C70" s="1281"/>
      <c r="D70" s="1281"/>
      <c r="E70" s="540"/>
      <c r="F70" s="400"/>
      <c r="G70" s="873"/>
      <c r="H70" s="873"/>
      <c r="I70" s="873"/>
    </row>
    <row r="71" spans="1:17">
      <c r="A71" s="1281" t="s">
        <v>1131</v>
      </c>
      <c r="B71" s="1281"/>
      <c r="C71" s="1281"/>
      <c r="D71" s="1281"/>
      <c r="E71" s="559">
        <v>-41</v>
      </c>
      <c r="F71" s="400">
        <v>-43</v>
      </c>
      <c r="G71" s="873"/>
      <c r="H71" s="873"/>
      <c r="I71" s="873"/>
    </row>
    <row r="72" spans="1:17">
      <c r="A72" s="1281"/>
      <c r="B72" s="1281"/>
      <c r="C72" s="1281"/>
      <c r="D72" s="1281"/>
      <c r="E72" s="535"/>
      <c r="F72" s="400"/>
      <c r="G72" s="873"/>
      <c r="H72" s="873"/>
      <c r="I72" s="873"/>
    </row>
    <row r="73" spans="1:17">
      <c r="A73" s="1283" t="s">
        <v>1125</v>
      </c>
      <c r="B73" s="1283"/>
      <c r="C73" s="1283"/>
      <c r="D73" s="1283"/>
      <c r="E73" s="540">
        <v>457</v>
      </c>
      <c r="F73" s="442">
        <v>577</v>
      </c>
      <c r="G73" s="873"/>
      <c r="H73" s="873"/>
      <c r="I73" s="873"/>
    </row>
    <row r="74" spans="1:17">
      <c r="A74" s="1281"/>
      <c r="B74" s="1281"/>
      <c r="C74" s="1281"/>
      <c r="D74" s="1281"/>
      <c r="E74" s="540"/>
      <c r="F74" s="442"/>
      <c r="G74" s="873"/>
      <c r="H74" s="873"/>
      <c r="I74" s="873"/>
    </row>
    <row r="75" spans="1:17">
      <c r="A75" s="1283" t="s">
        <v>1132</v>
      </c>
      <c r="B75" s="1283"/>
      <c r="C75" s="1283"/>
      <c r="D75" s="1283"/>
      <c r="E75" s="540"/>
      <c r="F75" s="442"/>
      <c r="G75" s="873"/>
      <c r="H75" s="873"/>
      <c r="I75" s="873"/>
    </row>
    <row r="76" spans="1:17">
      <c r="A76" s="1288" t="s">
        <v>1589</v>
      </c>
      <c r="B76" s="1288"/>
      <c r="C76" s="1288"/>
      <c r="D76" s="1288"/>
      <c r="E76" s="540"/>
      <c r="F76" s="442"/>
      <c r="G76" s="873"/>
      <c r="H76" s="873"/>
      <c r="I76" s="873"/>
    </row>
    <row r="77" spans="1:17">
      <c r="A77" s="1242" t="s">
        <v>1073</v>
      </c>
      <c r="B77" s="1242"/>
      <c r="C77" s="1242"/>
      <c r="D77" s="1242"/>
      <c r="E77" s="559">
        <v>-31</v>
      </c>
      <c r="F77" s="473">
        <v>-8</v>
      </c>
      <c r="G77" s="873"/>
      <c r="H77" s="873"/>
      <c r="I77" s="873"/>
    </row>
    <row r="78" spans="1:17">
      <c r="A78" s="1242" t="s">
        <v>1069</v>
      </c>
      <c r="B78" s="1242"/>
      <c r="C78" s="1242"/>
      <c r="D78" s="1242"/>
      <c r="E78" s="559">
        <v>-23</v>
      </c>
      <c r="F78" s="473">
        <v>-19</v>
      </c>
      <c r="G78" s="873"/>
      <c r="H78" s="873"/>
      <c r="I78" s="873"/>
    </row>
    <row r="79" spans="1:17">
      <c r="A79" s="1242" t="s">
        <v>1590</v>
      </c>
      <c r="B79" s="1242"/>
      <c r="C79" s="1242"/>
      <c r="D79" s="1242"/>
      <c r="E79" s="559">
        <v>-17</v>
      </c>
      <c r="F79" s="442">
        <v>-2</v>
      </c>
      <c r="G79" s="1114"/>
      <c r="H79" s="1114"/>
      <c r="I79" s="1114"/>
      <c r="J79" s="1114"/>
      <c r="K79" s="1114"/>
      <c r="L79" s="1114"/>
      <c r="M79" s="1114"/>
      <c r="N79" s="1114"/>
      <c r="O79" s="1114"/>
      <c r="P79" s="1114"/>
      <c r="Q79" s="1114"/>
    </row>
    <row r="80" spans="1:17">
      <c r="A80" s="1288" t="s">
        <v>1591</v>
      </c>
      <c r="B80" s="1288"/>
      <c r="C80" s="1288"/>
      <c r="D80" s="1288"/>
      <c r="E80" s="559"/>
      <c r="F80" s="442"/>
      <c r="G80" s="1114"/>
      <c r="H80" s="1114"/>
      <c r="I80" s="1114"/>
      <c r="J80" s="1114"/>
      <c r="K80" s="1114"/>
      <c r="L80" s="1114"/>
      <c r="M80" s="1114"/>
      <c r="N80" s="1114"/>
      <c r="O80" s="1114"/>
      <c r="P80" s="1114"/>
      <c r="Q80" s="1114"/>
    </row>
    <row r="81" spans="1:17">
      <c r="A81" s="1242" t="s">
        <v>1069</v>
      </c>
      <c r="B81" s="1242"/>
      <c r="C81" s="1242"/>
      <c r="D81" s="1242"/>
      <c r="E81" s="559">
        <v>-13</v>
      </c>
      <c r="F81" s="442"/>
      <c r="G81" s="1114"/>
      <c r="H81" s="1114"/>
      <c r="I81" s="1114"/>
      <c r="J81" s="1114"/>
      <c r="K81" s="1114"/>
      <c r="L81" s="1114"/>
      <c r="M81" s="1114"/>
      <c r="N81" s="1114"/>
      <c r="O81" s="1114"/>
      <c r="P81" s="1114"/>
      <c r="Q81" s="1114"/>
    </row>
    <row r="82" spans="1:17">
      <c r="A82" s="1242" t="s">
        <v>1592</v>
      </c>
      <c r="B82" s="1242"/>
      <c r="C82" s="1242"/>
      <c r="D82" s="1242"/>
      <c r="E82" s="559">
        <v>-6</v>
      </c>
      <c r="F82" s="442"/>
      <c r="G82" s="1114"/>
      <c r="H82" s="1114"/>
      <c r="I82" s="1114"/>
      <c r="J82" s="1114"/>
      <c r="K82" s="1114"/>
      <c r="L82" s="1114"/>
      <c r="M82" s="1114"/>
      <c r="N82" s="1114"/>
      <c r="O82" s="1114"/>
      <c r="P82" s="1114"/>
      <c r="Q82" s="1114"/>
    </row>
    <row r="83" spans="1:17">
      <c r="A83" s="1242" t="s">
        <v>1324</v>
      </c>
      <c r="B83" s="1242"/>
      <c r="C83" s="1242"/>
      <c r="D83" s="1242"/>
      <c r="E83" s="559"/>
      <c r="F83" s="442">
        <v>-6</v>
      </c>
      <c r="G83" s="1114"/>
      <c r="H83" s="1114"/>
      <c r="I83" s="1114"/>
      <c r="J83" s="1114"/>
      <c r="K83" s="1114"/>
      <c r="L83" s="1114"/>
      <c r="M83" s="1114"/>
      <c r="N83" s="1114"/>
      <c r="O83" s="1114"/>
      <c r="P83" s="1114"/>
      <c r="Q83" s="1114"/>
    </row>
    <row r="84" spans="1:17">
      <c r="A84" s="1258" t="s">
        <v>582</v>
      </c>
      <c r="B84" s="1258"/>
      <c r="C84" s="1258"/>
      <c r="D84" s="1258"/>
      <c r="E84" s="560">
        <v>-4</v>
      </c>
      <c r="F84" s="433"/>
      <c r="G84" s="873"/>
      <c r="H84" s="873"/>
      <c r="I84" s="873"/>
    </row>
    <row r="85" spans="1:17">
      <c r="A85" s="1241" t="s">
        <v>1133</v>
      </c>
      <c r="B85" s="1241"/>
      <c r="C85" s="1241"/>
      <c r="D85" s="1241"/>
      <c r="E85" s="540">
        <v>-95</v>
      </c>
      <c r="F85" s="442">
        <v>-35</v>
      </c>
      <c r="G85" s="873"/>
      <c r="H85" s="873"/>
      <c r="I85" s="873"/>
    </row>
    <row r="86" spans="1:17">
      <c r="A86" s="808"/>
      <c r="B86" s="808"/>
      <c r="C86" s="486"/>
      <c r="D86" s="486"/>
      <c r="E86" s="536"/>
      <c r="F86" s="433"/>
      <c r="G86" s="873"/>
      <c r="H86" s="873"/>
      <c r="I86" s="873"/>
    </row>
    <row r="87" spans="1:17">
      <c r="A87" s="1290" t="s">
        <v>191</v>
      </c>
      <c r="B87" s="1290"/>
      <c r="C87" s="1290"/>
      <c r="D87" s="1290"/>
      <c r="E87" s="537">
        <v>362</v>
      </c>
      <c r="F87" s="452">
        <v>543</v>
      </c>
      <c r="G87" s="873"/>
      <c r="H87" s="873"/>
      <c r="I87" s="873"/>
    </row>
    <row r="88" spans="1:17">
      <c r="A88" s="239"/>
      <c r="B88" s="239"/>
      <c r="C88" s="871"/>
      <c r="D88" s="873"/>
      <c r="E88" s="873"/>
      <c r="F88" s="873"/>
      <c r="G88" s="873"/>
      <c r="H88" s="873"/>
      <c r="I88" s="873"/>
    </row>
    <row r="89" spans="1:17" ht="11.1" customHeight="1">
      <c r="A89" s="269"/>
      <c r="B89" s="269"/>
      <c r="C89" s="270"/>
      <c r="D89" s="271"/>
      <c r="E89" s="271"/>
      <c r="F89" s="271"/>
      <c r="G89" s="873"/>
      <c r="H89" s="873"/>
      <c r="I89" s="873"/>
    </row>
    <row r="90" spans="1:17" ht="11.25" customHeight="1">
      <c r="A90" s="1289" t="s">
        <v>1465</v>
      </c>
      <c r="B90" s="1289"/>
      <c r="C90" s="1289"/>
      <c r="D90" s="1289"/>
      <c r="E90" s="1289"/>
      <c r="F90" s="1289"/>
      <c r="G90" s="870"/>
      <c r="H90" s="870"/>
      <c r="I90" s="870"/>
    </row>
    <row r="91" spans="1:17" ht="11.1" customHeight="1">
      <c r="A91" s="1279"/>
      <c r="B91" s="1279"/>
      <c r="C91" s="1279"/>
      <c r="D91" s="1279"/>
      <c r="E91" s="1279"/>
      <c r="F91" s="1279"/>
      <c r="G91" s="870"/>
      <c r="H91" s="870"/>
      <c r="I91" s="870"/>
    </row>
    <row r="92" spans="1:17" ht="45" customHeight="1">
      <c r="A92" s="1271" t="s">
        <v>1732</v>
      </c>
      <c r="B92" s="1271"/>
      <c r="C92" s="1247"/>
      <c r="D92" s="1247"/>
      <c r="E92" s="1247"/>
      <c r="F92" s="1247"/>
      <c r="G92" s="870"/>
      <c r="H92" s="870"/>
      <c r="I92" s="870"/>
    </row>
    <row r="93" spans="1:17" ht="10.5" customHeight="1">
      <c r="A93" s="1125"/>
      <c r="B93" s="1125"/>
      <c r="C93" s="1124"/>
      <c r="D93" s="1124"/>
      <c r="E93" s="1124"/>
      <c r="F93" s="1124"/>
      <c r="G93" s="1126"/>
      <c r="H93" s="1126"/>
      <c r="I93" s="1126"/>
      <c r="J93" s="1126"/>
      <c r="K93" s="1126"/>
      <c r="L93" s="1126"/>
      <c r="M93" s="1126"/>
      <c r="N93" s="1126"/>
      <c r="O93" s="1126"/>
      <c r="P93" s="1126"/>
      <c r="Q93" s="1126"/>
    </row>
    <row r="94" spans="1:17" ht="11.25" customHeight="1">
      <c r="A94" s="1291" t="s">
        <v>82</v>
      </c>
      <c r="B94" s="1291"/>
      <c r="C94" s="1291"/>
      <c r="D94" s="1291"/>
      <c r="E94" s="1291"/>
      <c r="F94" s="1291"/>
    </row>
    <row r="95" spans="1:17" ht="11.25" customHeight="1">
      <c r="A95" s="851"/>
      <c r="B95" s="1121"/>
      <c r="C95" s="852"/>
      <c r="D95" s="852"/>
      <c r="E95" s="852"/>
      <c r="F95" s="852"/>
      <c r="G95" s="853"/>
      <c r="H95" s="853"/>
      <c r="I95" s="853"/>
    </row>
    <row r="96" spans="1:17" ht="22.5" customHeight="1">
      <c r="A96" s="1271" t="s">
        <v>1728</v>
      </c>
      <c r="B96" s="1271"/>
      <c r="C96" s="1247"/>
      <c r="D96" s="1247"/>
      <c r="E96" s="1247"/>
      <c r="F96" s="1247"/>
      <c r="G96" s="853"/>
      <c r="H96" s="853"/>
      <c r="I96" s="853"/>
    </row>
    <row r="97" spans="1:17" ht="11.25" customHeight="1">
      <c r="A97" s="275"/>
      <c r="B97" s="275"/>
      <c r="C97" s="364"/>
      <c r="D97" s="364"/>
      <c r="E97" s="364"/>
      <c r="F97" s="437"/>
      <c r="G97" s="763"/>
      <c r="H97" s="763"/>
      <c r="I97" s="763"/>
    </row>
    <row r="98" spans="1:17" ht="11.25" customHeight="1">
      <c r="A98" s="276"/>
      <c r="B98" s="276"/>
      <c r="C98" s="546"/>
      <c r="D98" s="547">
        <v>2019</v>
      </c>
      <c r="E98" s="437"/>
      <c r="F98" s="397">
        <v>2018</v>
      </c>
    </row>
    <row r="99" spans="1:17" ht="23.25" customHeight="1">
      <c r="A99" s="1002" t="s">
        <v>700</v>
      </c>
      <c r="B99" s="1123"/>
      <c r="C99" s="563" t="s">
        <v>501</v>
      </c>
      <c r="D99" s="563" t="s">
        <v>1640</v>
      </c>
      <c r="E99" s="289" t="s">
        <v>501</v>
      </c>
      <c r="F99" s="289" t="s">
        <v>1640</v>
      </c>
    </row>
    <row r="100" spans="1:17" ht="11.25" customHeight="1">
      <c r="A100" s="1293" t="s">
        <v>695</v>
      </c>
      <c r="B100" s="1293"/>
      <c r="C100" s="534">
        <v>78</v>
      </c>
      <c r="D100" s="534">
        <v>324</v>
      </c>
      <c r="E100" s="398">
        <v>56</v>
      </c>
      <c r="F100" s="398">
        <v>242</v>
      </c>
    </row>
    <row r="101" spans="1:17" ht="11.25" customHeight="1">
      <c r="A101" s="1292" t="s">
        <v>1030</v>
      </c>
      <c r="B101" s="1292"/>
      <c r="C101" s="533">
        <v>1612</v>
      </c>
      <c r="D101" s="533">
        <v>1595</v>
      </c>
      <c r="E101" s="399">
        <v>1429</v>
      </c>
      <c r="F101" s="399">
        <v>1534</v>
      </c>
      <c r="G101" s="235"/>
    </row>
    <row r="102" spans="1:17" ht="11.1" customHeight="1">
      <c r="A102" s="1281" t="s">
        <v>581</v>
      </c>
      <c r="B102" s="1281"/>
      <c r="C102" s="535">
        <v>1968</v>
      </c>
      <c r="D102" s="535">
        <v>114</v>
      </c>
      <c r="E102" s="400">
        <v>1867</v>
      </c>
      <c r="F102" s="400">
        <v>90</v>
      </c>
    </row>
    <row r="103" spans="1:17" ht="11.25" customHeight="1">
      <c r="A103" s="1281" t="s">
        <v>880</v>
      </c>
      <c r="B103" s="1281"/>
      <c r="C103" s="535">
        <v>1098</v>
      </c>
      <c r="D103" s="535">
        <v>271</v>
      </c>
      <c r="E103" s="400">
        <v>1245</v>
      </c>
      <c r="F103" s="400">
        <v>266</v>
      </c>
    </row>
    <row r="104" spans="1:17" ht="11.25" customHeight="1">
      <c r="A104" s="1294" t="s">
        <v>582</v>
      </c>
      <c r="B104" s="1294"/>
      <c r="C104" s="536">
        <v>414</v>
      </c>
      <c r="D104" s="536">
        <v>7</v>
      </c>
      <c r="E104" s="433">
        <v>577</v>
      </c>
      <c r="F104" s="433">
        <v>5</v>
      </c>
    </row>
    <row r="105" spans="1:17" ht="11.25" customHeight="1">
      <c r="A105" s="1295" t="s">
        <v>641</v>
      </c>
      <c r="B105" s="1295"/>
      <c r="C105" s="537">
        <v>5170</v>
      </c>
      <c r="D105" s="537">
        <v>2310</v>
      </c>
      <c r="E105" s="462">
        <v>5174</v>
      </c>
      <c r="F105" s="462">
        <v>2137</v>
      </c>
    </row>
    <row r="106" spans="1:17" ht="11.25" customHeight="1">
      <c r="A106" s="394"/>
      <c r="B106" s="320"/>
      <c r="C106" s="283"/>
      <c r="D106" s="283"/>
      <c r="E106" s="283"/>
      <c r="F106" s="283"/>
    </row>
    <row r="107" spans="1:17" ht="10.5" customHeight="1">
      <c r="A107" s="1125"/>
      <c r="B107" s="1125"/>
      <c r="C107" s="1124"/>
      <c r="D107" s="1124"/>
      <c r="E107" s="1124"/>
      <c r="F107" s="1124"/>
      <c r="G107" s="1126"/>
      <c r="H107" s="1126"/>
      <c r="I107" s="1126"/>
      <c r="J107" s="1126"/>
      <c r="K107" s="1126"/>
      <c r="L107" s="1126"/>
      <c r="M107" s="1126"/>
      <c r="N107" s="1126"/>
      <c r="O107" s="1126"/>
      <c r="P107" s="1126"/>
      <c r="Q107" s="1126"/>
    </row>
    <row r="108" spans="1:17" ht="12.75" customHeight="1">
      <c r="A108" s="1291" t="s">
        <v>1439</v>
      </c>
      <c r="B108" s="1291"/>
      <c r="C108" s="1291"/>
      <c r="D108" s="1291"/>
      <c r="E108" s="1291"/>
      <c r="F108" s="1291"/>
    </row>
    <row r="109" spans="1:17" ht="10.5" customHeight="1">
      <c r="A109" s="960"/>
      <c r="B109" s="960"/>
      <c r="C109" s="961"/>
      <c r="D109" s="961"/>
      <c r="E109" s="817"/>
      <c r="F109" s="866"/>
    </row>
    <row r="110" spans="1:17" ht="11.25" customHeight="1">
      <c r="A110" s="1227" t="s">
        <v>700</v>
      </c>
      <c r="B110" s="1227"/>
      <c r="C110" s="1227"/>
      <c r="D110" s="1227"/>
      <c r="E110" s="558">
        <v>2019</v>
      </c>
      <c r="F110" s="1178">
        <v>2018</v>
      </c>
    </row>
    <row r="111" spans="1:17" ht="11.25" customHeight="1">
      <c r="A111" s="1241" t="s">
        <v>501</v>
      </c>
      <c r="B111" s="1241"/>
      <c r="C111" s="1241"/>
      <c r="D111" s="1241"/>
      <c r="E111" s="1075"/>
      <c r="F111" s="400"/>
    </row>
    <row r="112" spans="1:17">
      <c r="A112" s="1286" t="s">
        <v>1440</v>
      </c>
      <c r="B112" s="1286"/>
      <c r="C112" s="1286"/>
      <c r="D112" s="1286"/>
      <c r="E112" s="540">
        <v>1639</v>
      </c>
      <c r="F112" s="400">
        <v>1577</v>
      </c>
    </row>
    <row r="113" spans="1:6" ht="11.25" customHeight="1">
      <c r="A113" s="1285" t="s">
        <v>1441</v>
      </c>
      <c r="B113" s="1285"/>
      <c r="C113" s="1285"/>
      <c r="D113" s="1285"/>
      <c r="E113" s="536">
        <v>863</v>
      </c>
      <c r="F113" s="433">
        <v>842</v>
      </c>
    </row>
    <row r="114" spans="1:6" ht="11.25" customHeight="1">
      <c r="A114" s="1284" t="s">
        <v>641</v>
      </c>
      <c r="B114" s="1284"/>
      <c r="C114" s="1284"/>
      <c r="D114" s="1284"/>
      <c r="E114" s="537">
        <v>2502</v>
      </c>
      <c r="F114" s="462">
        <v>2419</v>
      </c>
    </row>
    <row r="115" spans="1:6" ht="12.75" customHeight="1">
      <c r="A115" s="857"/>
      <c r="B115" s="857"/>
      <c r="C115" s="857"/>
      <c r="D115" s="857"/>
      <c r="E115" s="759"/>
      <c r="F115" s="759"/>
    </row>
    <row r="116" spans="1:6" ht="22.5" customHeight="1">
      <c r="A116" s="759"/>
      <c r="C116" s="759"/>
      <c r="D116" s="759"/>
      <c r="E116" s="759"/>
      <c r="F116" s="759"/>
    </row>
    <row r="117" spans="1:6" ht="11.25" customHeight="1">
      <c r="A117" s="759"/>
      <c r="C117" s="759"/>
      <c r="D117" s="759"/>
      <c r="E117" s="759"/>
      <c r="F117" s="759"/>
    </row>
    <row r="118" spans="1:6" ht="12.75" customHeight="1">
      <c r="A118" s="759"/>
      <c r="C118" s="759"/>
      <c r="D118" s="759"/>
      <c r="E118" s="759"/>
      <c r="F118" s="759"/>
    </row>
    <row r="119" spans="1:6" ht="11.25" customHeight="1">
      <c r="A119" s="759"/>
      <c r="C119" s="759"/>
      <c r="D119" s="759"/>
      <c r="E119" s="759"/>
      <c r="F119" s="759"/>
    </row>
    <row r="120" spans="1:6" ht="11.25" customHeight="1">
      <c r="A120" s="759"/>
      <c r="C120" s="759"/>
      <c r="D120" s="759"/>
      <c r="E120" s="759"/>
      <c r="F120" s="759"/>
    </row>
    <row r="121" spans="1:6" ht="11.25" customHeight="1">
      <c r="A121" s="759"/>
      <c r="C121" s="759"/>
      <c r="D121" s="759"/>
      <c r="E121" s="759"/>
      <c r="F121" s="759"/>
    </row>
    <row r="122" spans="1:6" ht="11.25" customHeight="1">
      <c r="A122" s="759"/>
      <c r="C122" s="759"/>
      <c r="D122" s="759"/>
      <c r="E122" s="759"/>
      <c r="F122" s="759"/>
    </row>
    <row r="123" spans="1:6" ht="11.25" customHeight="1">
      <c r="A123" s="759"/>
      <c r="C123" s="759"/>
      <c r="D123" s="759"/>
      <c r="E123" s="759"/>
      <c r="F123" s="759"/>
    </row>
    <row r="124" spans="1:6" ht="11.25" customHeight="1">
      <c r="A124" s="759"/>
      <c r="C124" s="759"/>
      <c r="D124" s="759"/>
      <c r="E124" s="759"/>
      <c r="F124" s="759"/>
    </row>
    <row r="125" spans="1:6" ht="11.25" customHeight="1">
      <c r="A125" s="759"/>
      <c r="C125" s="759"/>
      <c r="D125" s="759"/>
      <c r="E125" s="759"/>
      <c r="F125" s="759"/>
    </row>
    <row r="126" spans="1:6">
      <c r="A126" s="759"/>
      <c r="C126" s="759"/>
      <c r="D126" s="759"/>
      <c r="E126" s="759"/>
      <c r="F126" s="759"/>
    </row>
    <row r="127" spans="1:6">
      <c r="A127" s="759"/>
      <c r="C127" s="759"/>
      <c r="D127" s="759"/>
      <c r="E127" s="759"/>
      <c r="F127" s="759"/>
    </row>
  </sheetData>
  <mergeCells count="101">
    <mergeCell ref="A100:B100"/>
    <mergeCell ref="A102:B102"/>
    <mergeCell ref="A103:B103"/>
    <mergeCell ref="A104:B104"/>
    <mergeCell ref="A105:B105"/>
    <mergeCell ref="A13:B13"/>
    <mergeCell ref="A5:F5"/>
    <mergeCell ref="A9:F9"/>
    <mergeCell ref="A60:F60"/>
    <mergeCell ref="A83:D83"/>
    <mergeCell ref="A84:D84"/>
    <mergeCell ref="A81:D81"/>
    <mergeCell ref="A73:D73"/>
    <mergeCell ref="A79:D79"/>
    <mergeCell ref="A80:D80"/>
    <mergeCell ref="A31:D31"/>
    <mergeCell ref="A46:D46"/>
    <mergeCell ref="A45:D45"/>
    <mergeCell ref="A44:D44"/>
    <mergeCell ref="A43:D43"/>
    <mergeCell ref="A42:D42"/>
    <mergeCell ref="A37:D37"/>
    <mergeCell ref="A14:B14"/>
    <mergeCell ref="A15:B15"/>
    <mergeCell ref="A114:D114"/>
    <mergeCell ref="A110:D110"/>
    <mergeCell ref="A113:D113"/>
    <mergeCell ref="A112:D112"/>
    <mergeCell ref="A41:D41"/>
    <mergeCell ref="A111:D111"/>
    <mergeCell ref="A52:D52"/>
    <mergeCell ref="A53:D53"/>
    <mergeCell ref="A54:D54"/>
    <mergeCell ref="A55:D55"/>
    <mergeCell ref="A57:D57"/>
    <mergeCell ref="A56:D56"/>
    <mergeCell ref="A47:D47"/>
    <mergeCell ref="A75:D75"/>
    <mergeCell ref="A85:D85"/>
    <mergeCell ref="A64:F64"/>
    <mergeCell ref="A76:D76"/>
    <mergeCell ref="A91:F91"/>
    <mergeCell ref="A92:F92"/>
    <mergeCell ref="A90:F90"/>
    <mergeCell ref="A87:D87"/>
    <mergeCell ref="A94:F94"/>
    <mergeCell ref="A108:F108"/>
    <mergeCell ref="A101:B101"/>
    <mergeCell ref="A1:F1"/>
    <mergeCell ref="A96:F96"/>
    <mergeCell ref="A24:D24"/>
    <mergeCell ref="A25:D25"/>
    <mergeCell ref="A27:D27"/>
    <mergeCell ref="A26:D26"/>
    <mergeCell ref="A30:D30"/>
    <mergeCell ref="A29:D29"/>
    <mergeCell ref="A11:F11"/>
    <mergeCell ref="A3:F3"/>
    <mergeCell ref="A6:F6"/>
    <mergeCell ref="A10:F10"/>
    <mergeCell ref="A71:D71"/>
    <mergeCell ref="A7:F7"/>
    <mergeCell ref="A36:D36"/>
    <mergeCell ref="A77:D77"/>
    <mergeCell ref="A78:D78"/>
    <mergeCell ref="A82:D82"/>
    <mergeCell ref="A66:F66"/>
    <mergeCell ref="A62:F62"/>
    <mergeCell ref="A70:D70"/>
    <mergeCell ref="A72:D72"/>
    <mergeCell ref="A74:D74"/>
    <mergeCell ref="A69:D69"/>
    <mergeCell ref="A16:B16"/>
    <mergeCell ref="A17:B17"/>
    <mergeCell ref="A18:B18"/>
    <mergeCell ref="C18:D18"/>
    <mergeCell ref="A21:F21"/>
    <mergeCell ref="A38:D38"/>
    <mergeCell ref="A51:D51"/>
    <mergeCell ref="A32:D32"/>
    <mergeCell ref="E18:F18"/>
    <mergeCell ref="A48:D48"/>
    <mergeCell ref="A49:D49"/>
    <mergeCell ref="A28:D28"/>
    <mergeCell ref="A40:D40"/>
    <mergeCell ref="A39:D39"/>
    <mergeCell ref="A35:D35"/>
    <mergeCell ref="A34:D34"/>
    <mergeCell ref="A33:D33"/>
    <mergeCell ref="A50:D50"/>
    <mergeCell ref="E14:F14"/>
    <mergeCell ref="E19:F19"/>
    <mergeCell ref="E13:F13"/>
    <mergeCell ref="C13:D13"/>
    <mergeCell ref="C14:D14"/>
    <mergeCell ref="C15:D15"/>
    <mergeCell ref="E17:F17"/>
    <mergeCell ref="E16:F16"/>
    <mergeCell ref="C16:D16"/>
    <mergeCell ref="C17:D17"/>
    <mergeCell ref="E15:F15"/>
  </mergeCells>
  <pageMargins left="0.7" right="0.7" top="0.75" bottom="0.75" header="0.3" footer="0.3"/>
  <pageSetup scale="87" orientation="portrait" r:id="rId1"/>
  <rowBreaks count="2" manualBreakCount="2">
    <brk id="22" max="6" man="1"/>
    <brk id="89" max="6" man="1"/>
  </rowBreaks>
  <customProperties>
    <customPr name="SheetOptions" r:id="rId2"/>
  </customPropertie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48</vt:i4>
      </vt:variant>
    </vt:vector>
  </HeadingPairs>
  <TitlesOfParts>
    <vt:vector size="94" baseType="lpstr">
      <vt:lpstr>Five Years in Figures</vt:lpstr>
      <vt:lpstr>Quarterly Figures</vt:lpstr>
      <vt:lpstr>Calculation of Financial Ratios</vt:lpstr>
      <vt:lpstr>Income Statement</vt:lpstr>
      <vt:lpstr>OCI</vt:lpstr>
      <vt:lpstr>Balance Sheet</vt:lpstr>
      <vt:lpstr>Cash Flow</vt:lpstr>
      <vt:lpstr>Equity</vt:lpstr>
      <vt:lpstr>Note 1</vt:lpstr>
      <vt:lpstr>Note 2</vt:lpstr>
      <vt:lpstr>Note 3</vt:lpstr>
      <vt:lpstr>Note 4</vt:lpstr>
      <vt:lpstr>Note 5</vt:lpstr>
      <vt:lpstr>Note 6</vt:lpstr>
      <vt:lpstr>Note 7</vt:lpstr>
      <vt:lpstr>Note 8</vt:lpstr>
      <vt:lpstr>Note 9</vt:lpstr>
      <vt:lpstr>Note 10</vt:lpstr>
      <vt:lpstr>Note 11</vt:lpstr>
      <vt:lpstr>Note 12</vt:lpstr>
      <vt:lpstr>Note 13</vt:lpstr>
      <vt:lpstr>Note 14</vt:lpstr>
      <vt:lpstr>Note 15</vt:lpstr>
      <vt:lpstr>Note 16</vt:lpstr>
      <vt:lpstr>Note 17</vt:lpstr>
      <vt:lpstr>Note 18</vt:lpstr>
      <vt:lpstr>Note 19</vt:lpstr>
      <vt:lpstr>Note 20</vt:lpstr>
      <vt:lpstr>Note 21</vt:lpstr>
      <vt:lpstr>Note 22</vt:lpstr>
      <vt:lpstr>Note 23</vt:lpstr>
      <vt:lpstr>Note 24</vt:lpstr>
      <vt:lpstr>Note 25</vt:lpstr>
      <vt:lpstr>Note 26</vt:lpstr>
      <vt:lpstr>Note 27</vt:lpstr>
      <vt:lpstr>Note 28</vt:lpstr>
      <vt:lpstr>Note 29</vt:lpstr>
      <vt:lpstr>Note 30</vt:lpstr>
      <vt:lpstr>Note 31</vt:lpstr>
      <vt:lpstr>Note 32</vt:lpstr>
      <vt:lpstr>Note 33</vt:lpstr>
      <vt:lpstr>Note 34</vt:lpstr>
      <vt:lpstr>Note 35</vt:lpstr>
      <vt:lpstr>Note 36</vt:lpstr>
      <vt:lpstr>check versio</vt:lpstr>
      <vt:lpstr>Sheet1</vt:lpstr>
      <vt:lpstr>kvastaava</vt:lpstr>
      <vt:lpstr>kvastattavaa</vt:lpstr>
      <vt:lpstr>'Balance Sheet'!Print_Area</vt:lpstr>
      <vt:lpstr>'Calculation of Financial Ratios'!Print_Area</vt:lpstr>
      <vt:lpstr>'Cash Flow'!Print_Area</vt:lpstr>
      <vt:lpstr>'check versio'!Print_Area</vt:lpstr>
      <vt:lpstr>Equity!Print_Area</vt:lpstr>
      <vt:lpstr>'Five Years in Figures'!Print_Area</vt:lpstr>
      <vt:lpstr>'Income Statement'!Print_Area</vt:lpstr>
      <vt:lpstr>'Note 1'!Print_Area</vt:lpstr>
      <vt:lpstr>'Note 10'!Print_Area</vt:lpstr>
      <vt:lpstr>'Note 11'!Print_Area</vt:lpstr>
      <vt:lpstr>'Note 12'!Print_Area</vt:lpstr>
      <vt:lpstr>'Note 13'!Print_Area</vt:lpstr>
      <vt:lpstr>'Note 14'!Print_Area</vt:lpstr>
      <vt:lpstr>'Note 15'!Print_Area</vt:lpstr>
      <vt:lpstr>'Note 16'!Print_Area</vt:lpstr>
      <vt:lpstr>'Note 17'!Print_Area</vt:lpstr>
      <vt:lpstr>'Note 18'!Print_Area</vt:lpstr>
      <vt:lpstr>'Note 19'!Print_Area</vt:lpstr>
      <vt:lpstr>'Note 2'!Print_Area</vt:lpstr>
      <vt:lpstr>'Note 20'!Print_Area</vt:lpstr>
      <vt:lpstr>'Note 21'!Print_Area</vt:lpstr>
      <vt:lpstr>'Note 22'!Print_Area</vt:lpstr>
      <vt:lpstr>'Note 23'!Print_Area</vt:lpstr>
      <vt:lpstr>'Note 24'!Print_Area</vt:lpstr>
      <vt:lpstr>'Note 25'!Print_Area</vt:lpstr>
      <vt:lpstr>'Note 26'!Print_Area</vt:lpstr>
      <vt:lpstr>'Note 27'!Print_Area</vt:lpstr>
      <vt:lpstr>'Note 28'!Print_Area</vt:lpstr>
      <vt:lpstr>'Note 29'!Print_Area</vt:lpstr>
      <vt:lpstr>'Note 3'!Print_Area</vt:lpstr>
      <vt:lpstr>'Note 30'!Print_Area</vt:lpstr>
      <vt:lpstr>'Note 31'!Print_Area</vt:lpstr>
      <vt:lpstr>'Note 32'!Print_Area</vt:lpstr>
      <vt:lpstr>'Note 33'!Print_Area</vt:lpstr>
      <vt:lpstr>'Note 34'!Print_Area</vt:lpstr>
      <vt:lpstr>'Note 35'!Print_Area</vt:lpstr>
      <vt:lpstr>'Note 36'!Print_Area</vt:lpstr>
      <vt:lpstr>'Note 4'!Print_Area</vt:lpstr>
      <vt:lpstr>'Note 5'!Print_Area</vt:lpstr>
      <vt:lpstr>'Note 6'!Print_Area</vt:lpstr>
      <vt:lpstr>'Note 7'!Print_Area</vt:lpstr>
      <vt:lpstr>'Note 8'!Print_Area</vt:lpstr>
      <vt:lpstr>'Note 9'!Print_Area</vt:lpstr>
      <vt:lpstr>OCI!Print_Area</vt:lpstr>
      <vt:lpstr>'Quarterly Figures'!Print_Area</vt:lpstr>
      <vt:lpstr>virallvastaavaa</vt:lpstr>
    </vt:vector>
  </TitlesOfParts>
  <Company>Metra Oyj Abp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tuija</dc:creator>
  <cp:lastModifiedBy>Carlzén, Alexandra</cp:lastModifiedBy>
  <cp:lastPrinted>2018-01-19T19:39:19Z</cp:lastPrinted>
  <dcterms:created xsi:type="dcterms:W3CDTF">1999-05-28T08:16:58Z</dcterms:created>
  <dcterms:modified xsi:type="dcterms:W3CDTF">2020-02-12T12:19:31Z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